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570" windowHeight="4650" activeTab="0"/>
  </bookViews>
  <sheets>
    <sheet name="DDVC Calculator" sheetId="1" r:id="rId1"/>
    <sheet name="DDVC Input Guide" sheetId="2" r:id="rId2"/>
  </sheets>
  <externalReferences>
    <externalReference r:id="rId5"/>
  </externalReferences>
  <definedNames>
    <definedName name="AllocVol" localSheetId="1">'[1]DDVC Calculator'!$C$15</definedName>
    <definedName name="AllocVol">'DDVC Calculator'!$C$15</definedName>
    <definedName name="CritDay" localSheetId="1">'[1]DDVC Calculator'!$C$16</definedName>
    <definedName name="CritDay">'DDVC Calculator'!$C$16</definedName>
    <definedName name="EntldToLowerFivePrcntTlrnc">'DDVC Calculator'!$C$29</definedName>
    <definedName name="EntldToUpperFivePrcntTlrnc" localSheetId="1">'[1]DDVC Calculator'!$C$27</definedName>
    <definedName name="EntldToUpperFivePrcntTlrnc">'DDVC Calculator'!$C$27</definedName>
    <definedName name="FE" localSheetId="1">'[1]DDVC Calculator'!$C$32</definedName>
    <definedName name="FE">'DDVC Calculator'!$C$32</definedName>
    <definedName name="IndexRate" localSheetId="1">'[1]DDVC Calculator'!$C$23</definedName>
    <definedName name="IndexRate">'DDVC Calculator'!$C$23</definedName>
    <definedName name="LEAltFirmSchd" localSheetId="1">'[1]DDVC Calculator'!$C$10</definedName>
    <definedName name="LEAltFirmSchd">'DDVC Calculator'!$C$10</definedName>
    <definedName name="LEItrblSchd" localSheetId="1">'[1]DDVC Calculator'!$C$12</definedName>
    <definedName name="LEItrblSchd">'DDVC Calculator'!$C$12</definedName>
    <definedName name="LEMDQ" localSheetId="1">'[1]DDVC Calculator'!$C$13</definedName>
    <definedName name="LEMDQ">'DDVC Calculator'!$C$13</definedName>
    <definedName name="LEOverrunSchd" localSheetId="1">'[1]DDVC Calculator'!$C$11</definedName>
    <definedName name="LEOverrunSchd">'DDVC Calculator'!$C$11</definedName>
    <definedName name="LEPriFirmSchd" localSheetId="1">'[1]DDVC Calculator'!$C$9</definedName>
    <definedName name="LEPriFirmSchd">'DDVC Calculator'!$C$9</definedName>
    <definedName name="LESMS" localSheetId="1">'[1]DDVC Calculator'!$C$14</definedName>
    <definedName name="LESMS">'DDVC Calculator'!$C$14</definedName>
    <definedName name="LETtlSchdVol" localSheetId="1">'[1]DDVC Calculator'!$C$31</definedName>
    <definedName name="LETtlSchdVol">'DDVC Calculator'!$C$31</definedName>
    <definedName name="LowerFree" localSheetId="1">'[1]DDVC Calculator'!$F$31</definedName>
    <definedName name="LowerFree">'DDVC Calculator'!$F$31</definedName>
    <definedName name="LowerPrcntTlrnc" localSheetId="1">'[1]DDVC Calculator'!$C$30</definedName>
    <definedName name="LowerPrcntTlrnc">'DDVC Calculator'!$C$30</definedName>
    <definedName name="LowerSMS" localSheetId="1">'[1]DDVC Calculator'!$F$32</definedName>
    <definedName name="LowerSMS">'DDVC Calculator'!$F$32</definedName>
    <definedName name="_xlnm.Print_Area" localSheetId="0">'DDVC Calculator'!$A$1:$Q$51</definedName>
    <definedName name="_xlnm.Print_Area" localSheetId="1">'DDVC Input Guide'!$A$1:$G$46</definedName>
    <definedName name="ResSmallCust" localSheetId="1">'[1]DDVC Calculator'!$C$19</definedName>
    <definedName name="ResSmallCust">'DDVC Calculator'!$C$19</definedName>
    <definedName name="Season" localSheetId="1">'[1]DDVC Calculator'!$C$22</definedName>
    <definedName name="Season">'DDVC Calculator'!$C$22</definedName>
    <definedName name="SmallCustPoint" localSheetId="1">'[1]DDVC Calculator'!$C$18</definedName>
    <definedName name="SmallCustPoint">'DDVC Calculator'!$C$18</definedName>
    <definedName name="SMSPrcnt" localSheetId="1">'[1]DDVC Calculator'!$C$21</definedName>
    <definedName name="SMSPrcnt">'DDVC Calculator'!$C$21</definedName>
    <definedName name="SOLDay" localSheetId="1">'[1]DDVC Calculator'!$C$17</definedName>
    <definedName name="SOLDay">'DDVC Calculator'!$C$17</definedName>
    <definedName name="SULDay" localSheetId="1">'[1]DDVC Calculator'!$C$20</definedName>
    <definedName name="SULDay">'DDVC Calculator'!$C$20</definedName>
    <definedName name="SUMMER">'DDVC Calculator'!$C$22</definedName>
    <definedName name="TlrncCalcs" localSheetId="1">'[1]DDVC Calculator'!$C$8</definedName>
    <definedName name="TlrncCalcs">'DDVC Calculator'!$C$8</definedName>
    <definedName name="UpperFivePrcntDDVC" localSheetId="1">'[1]DDVC Calculator'!$C$33</definedName>
    <definedName name="UpperFivePrcntDDVC">'DDVC Calculator'!$C$33</definedName>
    <definedName name="UpperFree" localSheetId="1">'[1]DDVC Calculator'!$F$30</definedName>
    <definedName name="UpperFree">'DDVC Calculator'!$F$30</definedName>
    <definedName name="UpperPrcntTlrnc" localSheetId="1">'[1]DDVC Calculator'!$C$28</definedName>
    <definedName name="UpperPrcntTlrnc">'DDVC Calculator'!$C$28</definedName>
    <definedName name="UpperSMS" localSheetId="1">'[1]DDVC Calculator'!$F$29</definedName>
    <definedName name="UpperSMS">'DDVC Calculator'!$F$29</definedName>
  </definedNames>
  <calcPr fullCalcOnLoad="1"/>
</workbook>
</file>

<file path=xl/sharedStrings.xml><?xml version="1.0" encoding="utf-8"?>
<sst xmlns="http://schemas.openxmlformats.org/spreadsheetml/2006/main" count="150" uniqueCount="115">
  <si>
    <t>SMS / DDVC Penalty Calculator</t>
  </si>
  <si>
    <t>INPUT DATA SECTION</t>
  </si>
  <si>
    <t>Penalty Volumes</t>
  </si>
  <si>
    <t>Graph Information</t>
  </si>
  <si>
    <t>Lower SMS</t>
  </si>
  <si>
    <t>Tolerance Calculations :</t>
  </si>
  <si>
    <t>Free Area</t>
  </si>
  <si>
    <t>Upper SMS</t>
  </si>
  <si>
    <t>Legal Entity's Itrbl Schd :</t>
  </si>
  <si>
    <t>Total Penalty Volumes</t>
  </si>
  <si>
    <t>Allocated Volume</t>
  </si>
  <si>
    <t>Legal Entity's SMS :</t>
  </si>
  <si>
    <t>Scheduled Volume</t>
  </si>
  <si>
    <t>Firm Entitlement</t>
  </si>
  <si>
    <t>N</t>
  </si>
  <si>
    <t>SOL Day (Y/N) :</t>
  </si>
  <si>
    <t>Variance =</t>
  </si>
  <si>
    <t>Small Customer Point (Y/N) :</t>
  </si>
  <si>
    <t>SUL Day (Y/N) :</t>
  </si>
  <si>
    <t>Remaining Variance</t>
  </si>
  <si>
    <t>Calculations</t>
  </si>
  <si>
    <t>Upper Positive DDVC Level I</t>
  </si>
  <si>
    <t>Legal Entity's Total Schd Vol :</t>
  </si>
  <si>
    <t>Upper Free</t>
  </si>
  <si>
    <t>Lower Free</t>
  </si>
  <si>
    <t>Upper 5% DDVC :</t>
  </si>
  <si>
    <t>Legal Entity's MDQ :</t>
  </si>
  <si>
    <t>Allocated Volume :</t>
  </si>
  <si>
    <t>SMS Percent :</t>
  </si>
  <si>
    <t>Non-Print Area</t>
  </si>
  <si>
    <t>Restricted Small Customer (Y/N) :</t>
  </si>
  <si>
    <t>Errors</t>
  </si>
  <si>
    <t>Legal Entity's Primary Firm Schd :</t>
  </si>
  <si>
    <t>Legal Entity's Alternate Firm Schd :</t>
  </si>
  <si>
    <t>Legal Entity's Overrun Schd :</t>
  </si>
  <si>
    <t>Critical Day (Y/N) :</t>
  </si>
  <si>
    <r>
      <t>*</t>
    </r>
    <r>
      <rPr>
        <sz val="8"/>
        <color indexed="58"/>
        <rFont val="MS Sans Serif"/>
        <family val="2"/>
      </rPr>
      <t xml:space="preserve"> Firm Entitlement Line :</t>
    </r>
  </si>
  <si>
    <t>* On an SOL day where Primary Scheduled is less than MDQ, Firm Entitlement shall be equal to MDQ only.</t>
  </si>
  <si>
    <t>Input Data Section of the SMS/DDVC Calculator</t>
  </si>
  <si>
    <t>Supporting Document Report to Use</t>
  </si>
  <si>
    <t>Input Data Information</t>
  </si>
  <si>
    <t>Non Critical SMS/Delivery Point Variance Report</t>
  </si>
  <si>
    <t xml:space="preserve"> Use the Total Scheduled Volumes for the day from the Tolerance Calc Volume column.                                                    ( Includes 3rd Party scheduled volumes.)  </t>
  </si>
  <si>
    <t xml:space="preserve">Non Critical SMS/Delivery Point Variance Report </t>
  </si>
  <si>
    <t xml:space="preserve"> Use the Primary Dth total for the day, from the Scheduled column. </t>
  </si>
  <si>
    <t xml:space="preserve">(When Scheduled at a Zone, use the Tolerance Calc Volume column.)  </t>
  </si>
  <si>
    <t>Legal Entity's Primary Firm Scheduled:</t>
  </si>
  <si>
    <t>*************************</t>
  </si>
  <si>
    <t>Scheduled Paths from TMS Interface Report</t>
  </si>
  <si>
    <t xml:space="preserve">Verify the Primary Firm Scheduled from the Scheduled Paths from </t>
  </si>
  <si>
    <t xml:space="preserve">Use the Primary Dth total for the day, from the Scheduled column. </t>
  </si>
  <si>
    <t>Legal Entity's Alternate Firm Scheduled:</t>
  </si>
  <si>
    <t xml:space="preserve">Verify the Alternate Scheduled from the Scheduled Paths from </t>
  </si>
  <si>
    <t xml:space="preserve">TMS Interface Report under the Cap Type Rec-Del column,                                                                                      the Del is S (Secondary, i.e. Alternate Firm). </t>
  </si>
  <si>
    <t xml:space="preserve">Use the Interruptible Dth total for the day, from the Scheduled column. </t>
  </si>
  <si>
    <t>Legal Entity's Overrun Schedule:</t>
  </si>
  <si>
    <t>Verify the contract used is a TF contract for Overrun.</t>
  </si>
  <si>
    <t xml:space="preserve">Verify Scheduled Paths from TMS Interface Report under the                                                                                                                      Cap Type Rec-Del column, Del is 'I' (Interruptible). </t>
  </si>
  <si>
    <t>Legal Entity's Interruptible Scheduled:</t>
  </si>
  <si>
    <t>Verify the contract used is a TI contract for Interruptible.</t>
  </si>
  <si>
    <t xml:space="preserve">Verify Scheduled Paths from TMS Interface Report under the                                                                                                   Cap Type Rec-Del column, Del is 'I' (Interruptible). </t>
  </si>
  <si>
    <t>Legal Entity's MDQ:</t>
  </si>
  <si>
    <t xml:space="preserve">Use the Point MDQ. </t>
  </si>
  <si>
    <t>Legal Entity's SMS:</t>
  </si>
  <si>
    <t xml:space="preserve">Use the daily total from the Point SMS column. </t>
  </si>
  <si>
    <t>Allocated Volume:</t>
  </si>
  <si>
    <t xml:space="preserve">Use the daily total from the Allocated Dth column. </t>
  </si>
  <si>
    <t>Critical Day (Y/N):</t>
  </si>
  <si>
    <t>Critical SMS/Delivery Point Variance Report</t>
  </si>
  <si>
    <t xml:space="preserve">Check the SOL/SUL column.  Use 'Y' if the code on the report is:  CRI. </t>
  </si>
  <si>
    <t>SOL Day (Y/N):</t>
  </si>
  <si>
    <t xml:space="preserve">Check the SOL/SUL column.  Use 'Y' if the code on the report is:  SOL or SUL  </t>
  </si>
  <si>
    <t>Small Customer Point (Y/N):</t>
  </si>
  <si>
    <t xml:space="preserve">Small Customer:  No    This is located in the heading of the report. </t>
  </si>
  <si>
    <t>Restricted Small Customer (Y/N):</t>
  </si>
  <si>
    <t xml:space="preserve">Restricted Small Customer:  No     This is located in the heading of the report. </t>
  </si>
  <si>
    <t>SUL Day (Y/N):</t>
  </si>
  <si>
    <t>SMS Percent:</t>
  </si>
  <si>
    <t xml:space="preserve">Use the SMS % column. </t>
  </si>
  <si>
    <r>
      <t>TMS Interface Report under the Cap Type Rec-Del column, the Del is P (Primary/Firm).</t>
    </r>
    <r>
      <rPr>
        <b/>
        <sz val="16"/>
        <color indexed="10"/>
        <rFont val="Arial"/>
        <family val="2"/>
      </rPr>
      <t xml:space="preserve"> </t>
    </r>
  </si>
  <si>
    <t>* The Daily Delivery Variance Charge calculator does not apply to Curtailment calculations.</t>
  </si>
  <si>
    <t>Rate</t>
  </si>
  <si>
    <t>Dollars</t>
  </si>
  <si>
    <t xml:space="preserve">Critical Day - Punitive DDVC Level II </t>
  </si>
  <si>
    <t>Critical Day - Punitive DDVC Level I</t>
  </si>
  <si>
    <t>Critical Day - Positive DDVC Level II</t>
  </si>
  <si>
    <t xml:space="preserve">Punitive DDVC </t>
  </si>
  <si>
    <t>Critical Day - Positive DDVC Level I</t>
  </si>
  <si>
    <t>Positive DDVC</t>
  </si>
  <si>
    <t>Negative DDVC (SUL Rate)</t>
  </si>
  <si>
    <t xml:space="preserve">Negative DDVC </t>
  </si>
  <si>
    <t>SMS</t>
  </si>
  <si>
    <t>Total $</t>
  </si>
  <si>
    <t>Punitive DDVC  (SOL Rate)</t>
  </si>
  <si>
    <t>Positive DDVC (SOL Rate)</t>
  </si>
  <si>
    <t>Season (S/O/W) :</t>
  </si>
  <si>
    <t>S</t>
  </si>
  <si>
    <t>(S)ummer</t>
  </si>
  <si>
    <t>(O)ctober</t>
  </si>
  <si>
    <t>(W)inter</t>
  </si>
  <si>
    <t>Season</t>
  </si>
  <si>
    <t>Index Multiplier</t>
  </si>
  <si>
    <t>N/A</t>
  </si>
  <si>
    <t>Index Rate :</t>
  </si>
  <si>
    <t>* Firm Entitlement line is the sum of the legal entity's MDQ, alternate firm scheduled, overrun scheduled and interruptible scheduled</t>
  </si>
  <si>
    <t xml:space="preserve">Total Scheduled Volumes for  </t>
  </si>
  <si>
    <t>Entitled to Lower 5% Tolerance :</t>
  </si>
  <si>
    <t>5% Lower Tolerance :</t>
  </si>
  <si>
    <t>Use the Index Rate.</t>
  </si>
  <si>
    <t>The highest published Platts “Gas Daily” Midpoint price on the applicable day at any of the applicable index points of: Market Area - Northern, Demarc and Northern, Ventura; or Field Area - Panhandle, Tx.-Okla. and El Paso, Permian.</t>
  </si>
  <si>
    <t>Index Rate</t>
  </si>
  <si>
    <t>Total Scheduled Volumes for 5% Tolerance Calculations:</t>
  </si>
  <si>
    <t>Summer (April 2024-September 2024)</t>
  </si>
  <si>
    <t>October (October 2024)</t>
  </si>
  <si>
    <t>Winter (November 2024-March 2025)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</si>
</sst>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0.0000"/>
    <numFmt numFmtId="170" formatCode="#,##0.0000_);[Red]\(#,##0.0000\)"/>
  </numFmts>
  <fonts count="9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8"/>
      <name val="MS Sans Serif"/>
      <family val="2"/>
    </font>
    <font>
      <b/>
      <i/>
      <u val="single"/>
      <sz val="8"/>
      <color indexed="12"/>
      <name val="MS Sans Serif"/>
      <family val="2"/>
    </font>
    <font>
      <sz val="8"/>
      <color indexed="12"/>
      <name val="MS Sans Serif"/>
      <family val="2"/>
    </font>
    <font>
      <sz val="8"/>
      <color indexed="14"/>
      <name val="MS Sans Serif"/>
      <family val="2"/>
    </font>
    <font>
      <sz val="8"/>
      <color indexed="16"/>
      <name val="MS Sans Serif"/>
      <family val="2"/>
    </font>
    <font>
      <sz val="8"/>
      <color indexed="18"/>
      <name val="MS Sans Serif"/>
      <family val="2"/>
    </font>
    <font>
      <sz val="8"/>
      <color indexed="23"/>
      <name val="MS Sans Serif"/>
      <family val="2"/>
    </font>
    <font>
      <sz val="8"/>
      <color indexed="19"/>
      <name val="MS Sans Serif"/>
      <family val="2"/>
    </font>
    <font>
      <sz val="8"/>
      <color indexed="20"/>
      <name val="MS Sans Serif"/>
      <family val="2"/>
    </font>
    <font>
      <b/>
      <i/>
      <u val="single"/>
      <sz val="8"/>
      <color indexed="50"/>
      <name val="MS Sans Serif"/>
      <family val="2"/>
    </font>
    <font>
      <sz val="8"/>
      <color indexed="50"/>
      <name val="MS Sans Serif"/>
      <family val="2"/>
    </font>
    <font>
      <b/>
      <i/>
      <u val="single"/>
      <sz val="8"/>
      <color indexed="58"/>
      <name val="MS Sans Serif"/>
      <family val="2"/>
    </font>
    <font>
      <sz val="8"/>
      <color indexed="58"/>
      <name val="MS Sans Serif"/>
      <family val="2"/>
    </font>
    <font>
      <sz val="8"/>
      <color indexed="56"/>
      <name val="MS Sans Serif"/>
      <family val="2"/>
    </font>
    <font>
      <b/>
      <i/>
      <sz val="8"/>
      <color indexed="51"/>
      <name val="MS Sans Serif"/>
      <family val="2"/>
    </font>
    <font>
      <sz val="8"/>
      <color indexed="51"/>
      <name val="MS Sans Serif"/>
      <family val="2"/>
    </font>
    <font>
      <sz val="8"/>
      <name val="Arial"/>
      <family val="2"/>
    </font>
    <font>
      <b/>
      <sz val="18"/>
      <color indexed="10"/>
      <name val="MS Sans Serif"/>
      <family val="2"/>
    </font>
    <font>
      <b/>
      <i/>
      <u val="single"/>
      <sz val="8"/>
      <color indexed="18"/>
      <name val="MS Sans Serif"/>
      <family val="2"/>
    </font>
    <font>
      <sz val="8"/>
      <color indexed="10"/>
      <name val="MS Sans Serif"/>
      <family val="2"/>
    </font>
    <font>
      <sz val="8"/>
      <color indexed="9"/>
      <name val="MS Sans Serif"/>
      <family val="2"/>
    </font>
    <font>
      <b/>
      <i/>
      <sz val="8"/>
      <color indexed="9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8"/>
      <name val="Arial"/>
      <family val="2"/>
    </font>
    <font>
      <b/>
      <u val="single"/>
      <sz val="18"/>
      <color indexed="9"/>
      <name val="Palatino Linotype"/>
      <family val="1"/>
    </font>
    <font>
      <b/>
      <sz val="18"/>
      <color indexed="9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6"/>
      <name val="Arial"/>
      <family val="2"/>
    </font>
    <font>
      <b/>
      <u val="single"/>
      <sz val="16"/>
      <name val="MS Sans Serif"/>
      <family val="2"/>
    </font>
    <font>
      <b/>
      <sz val="16"/>
      <color indexed="12"/>
      <name val="Arial"/>
      <family val="2"/>
    </font>
    <font>
      <b/>
      <i/>
      <sz val="16"/>
      <color indexed="16"/>
      <name val="Arial"/>
      <family val="2"/>
    </font>
    <font>
      <b/>
      <i/>
      <sz val="16"/>
      <color indexed="60"/>
      <name val="Arial"/>
      <family val="2"/>
    </font>
    <font>
      <b/>
      <sz val="16"/>
      <color indexed="16"/>
      <name val="Arial"/>
      <family val="2"/>
    </font>
    <font>
      <b/>
      <sz val="16"/>
      <name val="MS Sans Serif"/>
      <family val="2"/>
    </font>
    <font>
      <b/>
      <sz val="16"/>
      <color indexed="6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b/>
      <i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8"/>
      <name val="MS Sans Serif"/>
      <family val="2"/>
    </font>
    <font>
      <b/>
      <sz val="12"/>
      <color indexed="12"/>
      <name val="Arial"/>
      <family val="2"/>
    </font>
    <font>
      <b/>
      <i/>
      <sz val="18"/>
      <color indexed="16"/>
      <name val="Arial"/>
      <family val="2"/>
    </font>
    <font>
      <b/>
      <i/>
      <sz val="12"/>
      <color indexed="60"/>
      <name val="Arial"/>
      <family val="2"/>
    </font>
    <font>
      <b/>
      <i/>
      <sz val="16"/>
      <color indexed="18"/>
      <name val="Arial"/>
      <family val="2"/>
    </font>
    <font>
      <b/>
      <sz val="16"/>
      <color indexed="18"/>
      <name val="Arial"/>
      <family val="2"/>
    </font>
    <font>
      <sz val="16"/>
      <color indexed="12"/>
      <name val="Arial"/>
      <family val="2"/>
    </font>
    <font>
      <b/>
      <sz val="12"/>
      <color indexed="6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MS Sans Serif"/>
      <family val="0"/>
    </font>
    <font>
      <sz val="6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6"/>
      <color rgb="FF8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7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4" fillId="30" borderId="1" applyNumberFormat="0" applyAlignment="0" applyProtection="0"/>
    <xf numFmtId="0" fontId="85" fillId="0" borderId="6" applyNumberFormat="0" applyFill="0" applyAlignment="0" applyProtection="0"/>
    <xf numFmtId="0" fontId="86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87" fillId="27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5" fillId="33" borderId="0" xfId="58" applyFont="1" applyFill="1" applyBorder="1" applyProtection="1">
      <alignment/>
      <protection hidden="1"/>
    </xf>
    <xf numFmtId="0" fontId="4" fillId="33" borderId="0" xfId="58" applyFill="1" applyBorder="1" applyProtection="1">
      <alignment/>
      <protection hidden="1"/>
    </xf>
    <xf numFmtId="0" fontId="4" fillId="33" borderId="0" xfId="58" applyFill="1" applyProtection="1">
      <alignment/>
      <protection hidden="1"/>
    </xf>
    <xf numFmtId="0" fontId="4" fillId="0" borderId="0" xfId="58" applyProtection="1">
      <alignment/>
      <protection hidden="1"/>
    </xf>
    <xf numFmtId="0" fontId="7" fillId="33" borderId="0" xfId="58" applyFont="1" applyFill="1" applyBorder="1" applyProtection="1">
      <alignment/>
      <protection hidden="1"/>
    </xf>
    <xf numFmtId="0" fontId="5" fillId="33" borderId="10" xfId="58" applyFont="1" applyFill="1" applyBorder="1" applyProtection="1">
      <alignment/>
      <protection hidden="1"/>
    </xf>
    <xf numFmtId="0" fontId="5" fillId="33" borderId="11" xfId="58" applyFont="1" applyFill="1" applyBorder="1" applyProtection="1">
      <alignment/>
      <protection hidden="1"/>
    </xf>
    <xf numFmtId="0" fontId="15" fillId="33" borderId="0" xfId="58" applyFont="1" applyFill="1" applyBorder="1" applyProtection="1">
      <alignment/>
      <protection hidden="1"/>
    </xf>
    <xf numFmtId="0" fontId="7" fillId="33" borderId="0" xfId="58" applyFont="1" applyFill="1" applyBorder="1" applyAlignment="1" applyProtection="1">
      <alignment horizontal="right" vertical="center"/>
      <protection hidden="1"/>
    </xf>
    <xf numFmtId="0" fontId="15" fillId="33" borderId="0" xfId="58" applyFont="1" applyFill="1" applyBorder="1" applyAlignment="1" applyProtection="1">
      <alignment horizontal="right"/>
      <protection hidden="1"/>
    </xf>
    <xf numFmtId="38" fontId="9" fillId="33" borderId="12" xfId="58" applyNumberFormat="1" applyFont="1" applyFill="1" applyBorder="1" applyAlignment="1" applyProtection="1">
      <alignment horizontal="right"/>
      <protection hidden="1"/>
    </xf>
    <xf numFmtId="38" fontId="8" fillId="33" borderId="13" xfId="58" applyNumberFormat="1" applyFont="1" applyFill="1" applyBorder="1" applyProtection="1">
      <alignment/>
      <protection locked="0"/>
    </xf>
    <xf numFmtId="38" fontId="8" fillId="33" borderId="12" xfId="58" applyNumberFormat="1" applyFont="1" applyFill="1" applyBorder="1" applyProtection="1">
      <alignment/>
      <protection locked="0"/>
    </xf>
    <xf numFmtId="0" fontId="5" fillId="33" borderId="14" xfId="58" applyFont="1" applyFill="1" applyBorder="1" applyProtection="1">
      <alignment/>
      <protection hidden="1"/>
    </xf>
    <xf numFmtId="0" fontId="15" fillId="33" borderId="15" xfId="58" applyFont="1" applyFill="1" applyBorder="1" applyAlignment="1" applyProtection="1">
      <alignment horizontal="right"/>
      <protection hidden="1"/>
    </xf>
    <xf numFmtId="38" fontId="9" fillId="33" borderId="12" xfId="58" applyNumberFormat="1" applyFont="1" applyFill="1" applyBorder="1" applyProtection="1">
      <alignment/>
      <protection hidden="1"/>
    </xf>
    <xf numFmtId="38" fontId="11" fillId="33" borderId="12" xfId="58" applyNumberFormat="1" applyFont="1" applyFill="1" applyBorder="1" applyProtection="1">
      <alignment/>
      <protection hidden="1"/>
    </xf>
    <xf numFmtId="0" fontId="5" fillId="33" borderId="11" xfId="58" applyFont="1" applyFill="1" applyBorder="1" applyAlignment="1" applyProtection="1">
      <alignment horizontal="right"/>
      <protection hidden="1"/>
    </xf>
    <xf numFmtId="0" fontId="10" fillId="33" borderId="0" xfId="58" applyFont="1" applyFill="1" applyBorder="1" applyAlignment="1" applyProtection="1">
      <alignment horizontal="right"/>
      <protection hidden="1"/>
    </xf>
    <xf numFmtId="0" fontId="5" fillId="33" borderId="14" xfId="58" applyFont="1" applyFill="1" applyBorder="1" applyAlignment="1" applyProtection="1">
      <alignment horizontal="right"/>
      <protection hidden="1"/>
    </xf>
    <xf numFmtId="3" fontId="10" fillId="33" borderId="15" xfId="58" applyNumberFormat="1" applyFont="1" applyFill="1" applyBorder="1" applyAlignment="1" applyProtection="1">
      <alignment horizontal="right"/>
      <protection hidden="1"/>
    </xf>
    <xf numFmtId="38" fontId="11" fillId="33" borderId="12" xfId="58" applyNumberFormat="1" applyFont="1" applyFill="1" applyBorder="1" applyAlignment="1" applyProtection="1">
      <alignment horizontal="right"/>
      <protection hidden="1"/>
    </xf>
    <xf numFmtId="0" fontId="17" fillId="33" borderId="0" xfId="58" applyFont="1" applyFill="1" applyBorder="1" applyAlignment="1" applyProtection="1">
      <alignment horizontal="right" vertical="center"/>
      <protection hidden="1"/>
    </xf>
    <xf numFmtId="38" fontId="18" fillId="33" borderId="12" xfId="58" applyNumberFormat="1" applyFont="1" applyFill="1" applyBorder="1" applyAlignment="1" applyProtection="1">
      <alignment horizontal="right"/>
      <protection hidden="1"/>
    </xf>
    <xf numFmtId="0" fontId="5" fillId="33" borderId="15" xfId="58" applyFont="1" applyFill="1" applyBorder="1" applyProtection="1">
      <alignment/>
      <protection hidden="1"/>
    </xf>
    <xf numFmtId="0" fontId="12" fillId="33" borderId="11" xfId="58" applyFont="1" applyFill="1" applyBorder="1" applyProtection="1">
      <alignment/>
      <protection hidden="1"/>
    </xf>
    <xf numFmtId="38" fontId="13" fillId="33" borderId="16" xfId="58" applyNumberFormat="1" applyFont="1" applyFill="1" applyBorder="1" applyProtection="1">
      <alignment/>
      <protection hidden="1"/>
    </xf>
    <xf numFmtId="0" fontId="12" fillId="33" borderId="14" xfId="58" applyFont="1" applyFill="1" applyBorder="1" applyProtection="1">
      <alignment/>
      <protection hidden="1"/>
    </xf>
    <xf numFmtId="38" fontId="13" fillId="33" borderId="13" xfId="58" applyNumberFormat="1" applyFont="1" applyFill="1" applyBorder="1" applyProtection="1">
      <alignment/>
      <protection hidden="1"/>
    </xf>
    <xf numFmtId="9" fontId="8" fillId="33" borderId="12" xfId="61" applyFont="1" applyFill="1" applyBorder="1" applyAlignment="1" applyProtection="1">
      <alignment horizontal="right"/>
      <protection locked="0"/>
    </xf>
    <xf numFmtId="0" fontId="7" fillId="33" borderId="10" xfId="58" applyFont="1" applyFill="1" applyBorder="1" applyAlignment="1" applyProtection="1">
      <alignment horizontal="right" vertical="center"/>
      <protection hidden="1"/>
    </xf>
    <xf numFmtId="0" fontId="12" fillId="33" borderId="17" xfId="58" applyFont="1" applyFill="1" applyBorder="1" applyProtection="1">
      <alignment/>
      <protection hidden="1"/>
    </xf>
    <xf numFmtId="0" fontId="20" fillId="33" borderId="18" xfId="58" applyFont="1" applyFill="1" applyBorder="1" applyAlignment="1" applyProtection="1">
      <alignment horizontal="right"/>
      <protection hidden="1"/>
    </xf>
    <xf numFmtId="0" fontId="20" fillId="33" borderId="10" xfId="58" applyFont="1" applyFill="1" applyBorder="1" applyAlignment="1" applyProtection="1">
      <alignment horizontal="right"/>
      <protection hidden="1"/>
    </xf>
    <xf numFmtId="0" fontId="20" fillId="33" borderId="19" xfId="58" applyFont="1" applyFill="1" applyBorder="1" applyAlignment="1" applyProtection="1">
      <alignment horizontal="right"/>
      <protection hidden="1"/>
    </xf>
    <xf numFmtId="0" fontId="12" fillId="33" borderId="20" xfId="58" applyFont="1" applyFill="1" applyBorder="1" applyProtection="1">
      <alignment/>
      <protection hidden="1"/>
    </xf>
    <xf numFmtId="0" fontId="12" fillId="33" borderId="16" xfId="58" applyFont="1" applyFill="1" applyBorder="1" applyProtection="1">
      <alignment/>
      <protection hidden="1"/>
    </xf>
    <xf numFmtId="0" fontId="4" fillId="33" borderId="20" xfId="58" applyFill="1" applyBorder="1" applyProtection="1">
      <alignment/>
      <protection hidden="1"/>
    </xf>
    <xf numFmtId="0" fontId="4" fillId="33" borderId="16" xfId="58" applyFill="1" applyBorder="1" applyProtection="1">
      <alignment/>
      <protection hidden="1"/>
    </xf>
    <xf numFmtId="0" fontId="5" fillId="33" borderId="21" xfId="58" applyFont="1" applyFill="1" applyBorder="1" applyProtection="1">
      <alignment/>
      <protection hidden="1"/>
    </xf>
    <xf numFmtId="0" fontId="4" fillId="33" borderId="21" xfId="58" applyFill="1" applyBorder="1" applyProtection="1">
      <alignment/>
      <protection hidden="1"/>
    </xf>
    <xf numFmtId="0" fontId="4" fillId="33" borderId="22" xfId="58" applyFill="1" applyBorder="1" applyProtection="1">
      <alignment/>
      <protection hidden="1"/>
    </xf>
    <xf numFmtId="38" fontId="8" fillId="33" borderId="12" xfId="58" applyNumberFormat="1" applyFont="1" applyFill="1" applyBorder="1" applyAlignment="1" applyProtection="1">
      <alignment horizontal="right"/>
      <protection locked="0"/>
    </xf>
    <xf numFmtId="0" fontId="5" fillId="33" borderId="0" xfId="58" applyFont="1" applyFill="1" applyBorder="1" applyAlignment="1" applyProtection="1">
      <alignment horizontal="right"/>
      <protection hidden="1"/>
    </xf>
    <xf numFmtId="3" fontId="10" fillId="33" borderId="0" xfId="58" applyNumberFormat="1" applyFont="1" applyFill="1" applyBorder="1" applyAlignment="1" applyProtection="1">
      <alignment horizontal="right"/>
      <protection hidden="1"/>
    </xf>
    <xf numFmtId="38" fontId="11" fillId="33" borderId="0" xfId="58" applyNumberFormat="1" applyFont="1" applyFill="1" applyBorder="1" applyAlignment="1" applyProtection="1">
      <alignment horizontal="right"/>
      <protection hidden="1"/>
    </xf>
    <xf numFmtId="0" fontId="5" fillId="33" borderId="0" xfId="58" applyFont="1" applyFill="1" applyProtection="1">
      <alignment/>
      <protection hidden="1"/>
    </xf>
    <xf numFmtId="38" fontId="8" fillId="33" borderId="20" xfId="58" applyNumberFormat="1" applyFont="1" applyFill="1" applyBorder="1" applyProtection="1">
      <alignment/>
      <protection hidden="1"/>
    </xf>
    <xf numFmtId="0" fontId="5" fillId="0" borderId="0" xfId="58" applyFont="1" applyProtection="1">
      <alignment/>
      <protection hidden="1"/>
    </xf>
    <xf numFmtId="9" fontId="8" fillId="33" borderId="0" xfId="61" applyFont="1" applyFill="1" applyBorder="1" applyAlignment="1" applyProtection="1">
      <alignment horizontal="right"/>
      <protection hidden="1"/>
    </xf>
    <xf numFmtId="0" fontId="0" fillId="0" borderId="0" xfId="0" applyBorder="1" applyAlignment="1" applyProtection="1">
      <alignment/>
      <protection hidden="1"/>
    </xf>
    <xf numFmtId="0" fontId="5" fillId="33" borderId="0" xfId="58" applyFont="1" applyFill="1" applyProtection="1" quotePrefix="1">
      <alignment/>
      <protection hidden="1"/>
    </xf>
    <xf numFmtId="0" fontId="24" fillId="33" borderId="0" xfId="58" applyFont="1" applyFill="1" applyAlignment="1" applyProtection="1">
      <alignment horizontal="right"/>
      <protection hidden="1"/>
    </xf>
    <xf numFmtId="0" fontId="25" fillId="33" borderId="0" xfId="58" applyFont="1" applyFill="1" applyBorder="1" applyProtection="1">
      <alignment/>
      <protection hidden="1"/>
    </xf>
    <xf numFmtId="0" fontId="5" fillId="33" borderId="0" xfId="58" applyFont="1" applyFill="1" applyProtection="1">
      <alignment/>
      <protection hidden="1"/>
    </xf>
    <xf numFmtId="0" fontId="5" fillId="0" borderId="0" xfId="58" applyFont="1" applyProtection="1">
      <alignment/>
      <protection hidden="1"/>
    </xf>
    <xf numFmtId="0" fontId="25" fillId="33" borderId="0" xfId="58" applyFont="1" applyFill="1" applyProtection="1">
      <alignment/>
      <protection hidden="1"/>
    </xf>
    <xf numFmtId="0" fontId="24" fillId="33" borderId="0" xfId="58" applyFont="1" applyFill="1" applyBorder="1" applyAlignment="1" applyProtection="1">
      <alignment horizontal="right" vertical="center"/>
      <protection hidden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9" fillId="34" borderId="0" xfId="0" applyFont="1" applyFill="1" applyAlignment="1">
      <alignment vertical="center"/>
    </xf>
    <xf numFmtId="0" fontId="31" fillId="34" borderId="0" xfId="0" applyFont="1" applyFill="1" applyAlignment="1">
      <alignment horizontal="center" vertical="center"/>
    </xf>
    <xf numFmtId="0" fontId="30" fillId="34" borderId="0" xfId="0" applyFont="1" applyFill="1" applyAlignment="1">
      <alignment horizontal="center" vertical="center"/>
    </xf>
    <xf numFmtId="0" fontId="29" fillId="0" borderId="0" xfId="0" applyFont="1" applyAlignment="1">
      <alignment vertical="center"/>
    </xf>
    <xf numFmtId="0" fontId="32" fillId="34" borderId="0" xfId="0" applyFont="1" applyFill="1" applyAlignment="1">
      <alignment/>
    </xf>
    <xf numFmtId="0" fontId="32" fillId="34" borderId="0" xfId="0" applyFont="1" applyFill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0" fontId="34" fillId="34" borderId="0" xfId="0" applyFont="1" applyFill="1" applyAlignment="1">
      <alignment/>
    </xf>
    <xf numFmtId="0" fontId="35" fillId="35" borderId="2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7" fillId="35" borderId="24" xfId="0" applyFont="1" applyFill="1" applyBorder="1" applyAlignment="1">
      <alignment horizontal="center" vertical="center"/>
    </xf>
    <xf numFmtId="0" fontId="38" fillId="34" borderId="24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0" fillId="36" borderId="26" xfId="0" applyFont="1" applyFill="1" applyBorder="1" applyAlignment="1">
      <alignment horizontal="center" vertical="center"/>
    </xf>
    <xf numFmtId="0" fontId="36" fillId="34" borderId="27" xfId="0" applyFont="1" applyFill="1" applyBorder="1" applyAlignment="1">
      <alignment/>
    </xf>
    <xf numFmtId="0" fontId="37" fillId="36" borderId="27" xfId="0" applyFont="1" applyFill="1" applyBorder="1" applyAlignment="1">
      <alignment horizontal="center" vertical="center"/>
    </xf>
    <xf numFmtId="0" fontId="38" fillId="34" borderId="27" xfId="0" applyFont="1" applyFill="1" applyBorder="1" applyAlignment="1">
      <alignment horizontal="center" vertical="center"/>
    </xf>
    <xf numFmtId="0" fontId="39" fillId="36" borderId="28" xfId="0" applyFont="1" applyFill="1" applyBorder="1" applyAlignment="1">
      <alignment horizontal="center" vertical="center"/>
    </xf>
    <xf numFmtId="0" fontId="40" fillId="36" borderId="29" xfId="0" applyFont="1" applyFill="1" applyBorder="1" applyAlignment="1">
      <alignment horizontal="center" vertical="center"/>
    </xf>
    <xf numFmtId="0" fontId="39" fillId="36" borderId="30" xfId="0" applyFont="1" applyFill="1" applyBorder="1" applyAlignment="1">
      <alignment horizontal="center" vertical="center"/>
    </xf>
    <xf numFmtId="0" fontId="35" fillId="36" borderId="29" xfId="0" applyFont="1" applyFill="1" applyBorder="1" applyAlignment="1">
      <alignment horizontal="center" vertical="center"/>
    </xf>
    <xf numFmtId="0" fontId="43" fillId="36" borderId="30" xfId="0" applyFont="1" applyFill="1" applyBorder="1" applyAlignment="1">
      <alignment horizontal="center" vertical="center"/>
    </xf>
    <xf numFmtId="0" fontId="36" fillId="36" borderId="30" xfId="0" applyFont="1" applyFill="1" applyBorder="1" applyAlignment="1">
      <alignment horizontal="center" vertical="center"/>
    </xf>
    <xf numFmtId="0" fontId="40" fillId="36" borderId="31" xfId="0" applyFont="1" applyFill="1" applyBorder="1" applyAlignment="1">
      <alignment horizontal="center" vertical="center"/>
    </xf>
    <xf numFmtId="0" fontId="36" fillId="34" borderId="32" xfId="0" applyFont="1" applyFill="1" applyBorder="1" applyAlignment="1">
      <alignment/>
    </xf>
    <xf numFmtId="0" fontId="37" fillId="36" borderId="32" xfId="0" applyFont="1" applyFill="1" applyBorder="1" applyAlignment="1">
      <alignment horizontal="center" vertical="center"/>
    </xf>
    <xf numFmtId="0" fontId="38" fillId="34" borderId="3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/>
    </xf>
    <xf numFmtId="0" fontId="40" fillId="37" borderId="26" xfId="0" applyFont="1" applyFill="1" applyBorder="1" applyAlignment="1">
      <alignment horizontal="center" vertical="center"/>
    </xf>
    <xf numFmtId="0" fontId="37" fillId="37" borderId="27" xfId="0" applyFont="1" applyFill="1" applyBorder="1" applyAlignment="1">
      <alignment horizontal="center" vertical="center"/>
    </xf>
    <xf numFmtId="0" fontId="39" fillId="37" borderId="28" xfId="0" applyFont="1" applyFill="1" applyBorder="1" applyAlignment="1">
      <alignment horizontal="center" vertical="center"/>
    </xf>
    <xf numFmtId="0" fontId="35" fillId="37" borderId="29" xfId="0" applyFont="1" applyFill="1" applyBorder="1" applyAlignment="1">
      <alignment horizontal="center" vertical="center"/>
    </xf>
    <xf numFmtId="0" fontId="43" fillId="37" borderId="30" xfId="0" applyFont="1" applyFill="1" applyBorder="1" applyAlignment="1">
      <alignment horizontal="center" vertical="center"/>
    </xf>
    <xf numFmtId="0" fontId="40" fillId="37" borderId="29" xfId="0" applyFont="1" applyFill="1" applyBorder="1" applyAlignment="1">
      <alignment horizontal="center" vertical="center"/>
    </xf>
    <xf numFmtId="0" fontId="36" fillId="37" borderId="30" xfId="0" applyFont="1" applyFill="1" applyBorder="1" applyAlignment="1">
      <alignment horizontal="center" vertical="center"/>
    </xf>
    <xf numFmtId="0" fontId="40" fillId="37" borderId="31" xfId="0" applyFont="1" applyFill="1" applyBorder="1" applyAlignment="1">
      <alignment horizontal="center" vertical="center"/>
    </xf>
    <xf numFmtId="0" fontId="39" fillId="37" borderId="32" xfId="0" applyFont="1" applyFill="1" applyBorder="1" applyAlignment="1">
      <alignment horizontal="center" vertical="center"/>
    </xf>
    <xf numFmtId="0" fontId="41" fillId="34" borderId="32" xfId="0" applyFont="1" applyFill="1" applyBorder="1" applyAlignment="1">
      <alignment horizontal="center" vertical="center"/>
    </xf>
    <xf numFmtId="0" fontId="36" fillId="37" borderId="33" xfId="0" applyFont="1" applyFill="1" applyBorder="1" applyAlignment="1">
      <alignment horizontal="center" vertical="center" wrapText="1"/>
    </xf>
    <xf numFmtId="0" fontId="40" fillId="35" borderId="26" xfId="0" applyFont="1" applyFill="1" applyBorder="1" applyAlignment="1">
      <alignment horizontal="center" vertical="center"/>
    </xf>
    <xf numFmtId="0" fontId="37" fillId="35" borderId="27" xfId="0" applyFont="1" applyFill="1" applyBorder="1" applyAlignment="1">
      <alignment horizontal="center" vertical="center"/>
    </xf>
    <xf numFmtId="0" fontId="39" fillId="35" borderId="28" xfId="0" applyFont="1" applyFill="1" applyBorder="1" applyAlignment="1">
      <alignment horizontal="center" vertical="center"/>
    </xf>
    <xf numFmtId="0" fontId="35" fillId="35" borderId="29" xfId="0" applyFont="1" applyFill="1" applyBorder="1" applyAlignment="1">
      <alignment horizontal="center" vertical="center"/>
    </xf>
    <xf numFmtId="0" fontId="43" fillId="35" borderId="30" xfId="0" applyFont="1" applyFill="1" applyBorder="1" applyAlignment="1">
      <alignment horizontal="center" vertical="center"/>
    </xf>
    <xf numFmtId="0" fontId="40" fillId="35" borderId="29" xfId="0" applyFont="1" applyFill="1" applyBorder="1" applyAlignment="1">
      <alignment horizontal="center" vertical="center"/>
    </xf>
    <xf numFmtId="0" fontId="36" fillId="35" borderId="30" xfId="0" applyFont="1" applyFill="1" applyBorder="1" applyAlignment="1">
      <alignment horizontal="center" vertical="center"/>
    </xf>
    <xf numFmtId="0" fontId="40" fillId="35" borderId="31" xfId="0" applyFont="1" applyFill="1" applyBorder="1" applyAlignment="1">
      <alignment horizontal="center" vertical="center"/>
    </xf>
    <xf numFmtId="0" fontId="39" fillId="35" borderId="32" xfId="0" applyFont="1" applyFill="1" applyBorder="1" applyAlignment="1">
      <alignment horizontal="center" vertical="center"/>
    </xf>
    <xf numFmtId="0" fontId="36" fillId="35" borderId="33" xfId="0" applyFont="1" applyFill="1" applyBorder="1" applyAlignment="1">
      <alignment horizontal="center" vertical="center" wrapText="1"/>
    </xf>
    <xf numFmtId="0" fontId="39" fillId="36" borderId="32" xfId="0" applyFont="1" applyFill="1" applyBorder="1" applyAlignment="1">
      <alignment horizontal="center" vertical="center"/>
    </xf>
    <xf numFmtId="0" fontId="36" fillId="36" borderId="33" xfId="0" applyFont="1" applyFill="1" applyBorder="1" applyAlignment="1">
      <alignment horizontal="center" vertical="center" wrapText="1"/>
    </xf>
    <xf numFmtId="0" fontId="35" fillId="37" borderId="2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/>
    </xf>
    <xf numFmtId="0" fontId="37" fillId="37" borderId="24" xfId="0" applyFont="1" applyFill="1" applyBorder="1" applyAlignment="1">
      <alignment horizontal="center" vertical="center"/>
    </xf>
    <xf numFmtId="0" fontId="39" fillId="37" borderId="25" xfId="0" applyFont="1" applyFill="1" applyBorder="1" applyAlignment="1">
      <alignment horizontal="center" vertical="center"/>
    </xf>
    <xf numFmtId="0" fontId="39" fillId="35" borderId="25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/>
    </xf>
    <xf numFmtId="0" fontId="37" fillId="36" borderId="24" xfId="0" applyFont="1" applyFill="1" applyBorder="1" applyAlignment="1">
      <alignment horizontal="center" vertical="center"/>
    </xf>
    <xf numFmtId="0" fontId="39" fillId="36" borderId="25" xfId="0" applyFont="1" applyFill="1" applyBorder="1" applyAlignment="1">
      <alignment horizontal="center" vertical="center"/>
    </xf>
    <xf numFmtId="0" fontId="50" fillId="37" borderId="24" xfId="0" applyFont="1" applyFill="1" applyBorder="1" applyAlignment="1">
      <alignment horizontal="center" vertical="center"/>
    </xf>
    <xf numFmtId="0" fontId="51" fillId="37" borderId="25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10" fillId="33" borderId="0" xfId="58" applyFont="1" applyFill="1" applyBorder="1" applyAlignment="1" applyProtection="1">
      <alignment horizontal="right"/>
      <protection hidden="1"/>
    </xf>
    <xf numFmtId="38" fontId="9" fillId="33" borderId="0" xfId="58" applyNumberFormat="1" applyFont="1" applyFill="1" applyBorder="1" applyProtection="1">
      <alignment/>
      <protection hidden="1"/>
    </xf>
    <xf numFmtId="169" fontId="5" fillId="33" borderId="12" xfId="58" applyNumberFormat="1" applyFont="1" applyFill="1" applyBorder="1" applyProtection="1">
      <alignment/>
      <protection hidden="1"/>
    </xf>
    <xf numFmtId="0" fontId="5" fillId="33" borderId="0" xfId="58" applyFont="1" applyFill="1" applyBorder="1" applyAlignment="1" applyProtection="1">
      <alignment horizontal="right"/>
      <protection hidden="1"/>
    </xf>
    <xf numFmtId="0" fontId="4" fillId="33" borderId="10" xfId="58" applyFill="1" applyBorder="1" applyProtection="1">
      <alignment/>
      <protection hidden="1"/>
    </xf>
    <xf numFmtId="0" fontId="4" fillId="33" borderId="15" xfId="58" applyFill="1" applyBorder="1" applyProtection="1">
      <alignment/>
      <protection hidden="1"/>
    </xf>
    <xf numFmtId="0" fontId="4" fillId="33" borderId="19" xfId="58" applyFill="1" applyBorder="1" applyProtection="1">
      <alignment/>
      <protection hidden="1"/>
    </xf>
    <xf numFmtId="38" fontId="9" fillId="33" borderId="34" xfId="58" applyNumberFormat="1" applyFont="1" applyFill="1" applyBorder="1" applyAlignment="1" applyProtection="1">
      <alignment horizontal="right"/>
      <protection hidden="1"/>
    </xf>
    <xf numFmtId="0" fontId="15" fillId="33" borderId="15" xfId="58" applyFont="1" applyFill="1" applyBorder="1" applyAlignment="1" applyProtection="1">
      <alignment horizontal="center"/>
      <protection hidden="1"/>
    </xf>
    <xf numFmtId="0" fontId="15" fillId="33" borderId="19" xfId="58" applyFont="1" applyFill="1" applyBorder="1" applyAlignment="1" applyProtection="1">
      <alignment horizontal="center"/>
      <protection hidden="1"/>
    </xf>
    <xf numFmtId="4" fontId="9" fillId="33" borderId="12" xfId="58" applyNumberFormat="1" applyFont="1" applyFill="1" applyBorder="1" applyAlignment="1" applyProtection="1">
      <alignment horizontal="right"/>
      <protection hidden="1"/>
    </xf>
    <xf numFmtId="4" fontId="4" fillId="33" borderId="10" xfId="58" applyNumberFormat="1" applyFill="1" applyBorder="1" applyProtection="1">
      <alignment/>
      <protection hidden="1"/>
    </xf>
    <xf numFmtId="4" fontId="9" fillId="33" borderId="12" xfId="58" applyNumberFormat="1" applyFont="1" applyFill="1" applyBorder="1" applyProtection="1">
      <alignment/>
      <protection hidden="1"/>
    </xf>
    <xf numFmtId="0" fontId="5" fillId="0" borderId="0" xfId="58" applyFont="1" applyBorder="1" applyProtection="1">
      <alignment/>
      <protection hidden="1"/>
    </xf>
    <xf numFmtId="0" fontId="5" fillId="0" borderId="0" xfId="58" applyFont="1" applyBorder="1" applyAlignment="1" applyProtection="1">
      <alignment horizontal="right"/>
      <protection hidden="1"/>
    </xf>
    <xf numFmtId="170" fontId="9" fillId="33" borderId="12" xfId="58" applyNumberFormat="1" applyFont="1" applyFill="1" applyBorder="1" applyAlignment="1" applyProtection="1">
      <alignment horizontal="right"/>
      <protection hidden="1"/>
    </xf>
    <xf numFmtId="169" fontId="9" fillId="33" borderId="12" xfId="58" applyNumberFormat="1" applyFont="1" applyFill="1" applyBorder="1" applyAlignment="1" applyProtection="1">
      <alignment horizontal="right"/>
      <protection hidden="1"/>
    </xf>
    <xf numFmtId="0" fontId="5" fillId="33" borderId="0" xfId="58" applyFont="1" applyFill="1" applyBorder="1" applyAlignment="1" applyProtection="1">
      <alignment horizontal="center"/>
      <protection hidden="1"/>
    </xf>
    <xf numFmtId="0" fontId="5" fillId="33" borderId="0" xfId="58" applyFont="1" applyFill="1" applyBorder="1" applyAlignment="1" applyProtection="1">
      <alignment horizontal="center"/>
      <protection hidden="1"/>
    </xf>
    <xf numFmtId="169" fontId="5" fillId="33" borderId="12" xfId="58" applyNumberFormat="1" applyFont="1" applyFill="1" applyBorder="1" applyAlignment="1" applyProtection="1">
      <alignment horizontal="right"/>
      <protection hidden="1"/>
    </xf>
    <xf numFmtId="4" fontId="9" fillId="33" borderId="0" xfId="58" applyNumberFormat="1" applyFont="1" applyFill="1" applyBorder="1" applyProtection="1">
      <alignment/>
      <protection hidden="1"/>
    </xf>
    <xf numFmtId="0" fontId="7" fillId="33" borderId="10" xfId="58" applyFont="1" applyFill="1" applyBorder="1" applyAlignment="1" applyProtection="1">
      <alignment horizontal="right" vertical="center"/>
      <protection hidden="1"/>
    </xf>
    <xf numFmtId="0" fontId="7" fillId="33" borderId="15" xfId="58" applyFont="1" applyFill="1" applyBorder="1" applyAlignment="1" applyProtection="1">
      <alignment horizontal="right" vertical="center"/>
      <protection hidden="1"/>
    </xf>
    <xf numFmtId="40" fontId="8" fillId="33" borderId="12" xfId="58" applyNumberFormat="1" applyFont="1" applyFill="1" applyBorder="1" applyProtection="1">
      <alignment/>
      <protection locked="0"/>
    </xf>
    <xf numFmtId="0" fontId="26" fillId="33" borderId="21" xfId="58" applyFont="1" applyFill="1" applyBorder="1" applyAlignment="1" applyProtection="1">
      <alignment horizontal="left"/>
      <protection hidden="1"/>
    </xf>
    <xf numFmtId="38" fontId="18" fillId="33" borderId="35" xfId="58" applyNumberFormat="1" applyFont="1" applyFill="1" applyBorder="1" applyAlignment="1" applyProtection="1">
      <alignment horizontal="right"/>
      <protection hidden="1"/>
    </xf>
    <xf numFmtId="0" fontId="53" fillId="0" borderId="0" xfId="0" applyFont="1" applyAlignment="1">
      <alignment horizontal="center" vertical="center"/>
    </xf>
    <xf numFmtId="0" fontId="33" fillId="0" borderId="0" xfId="0" applyFont="1" applyAlignment="1">
      <alignment/>
    </xf>
    <xf numFmtId="0" fontId="54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34" fillId="34" borderId="0" xfId="57" applyFont="1" applyFill="1">
      <alignment/>
      <protection/>
    </xf>
    <xf numFmtId="0" fontId="36" fillId="34" borderId="0" xfId="57" applyFont="1" applyFill="1" applyAlignment="1">
      <alignment vertical="center"/>
      <protection/>
    </xf>
    <xf numFmtId="0" fontId="41" fillId="34" borderId="0" xfId="57" applyFont="1" applyFill="1" applyAlignment="1">
      <alignment horizontal="center" vertical="center"/>
      <protection/>
    </xf>
    <xf numFmtId="0" fontId="52" fillId="34" borderId="0" xfId="57" applyFont="1" applyFill="1">
      <alignment/>
      <protection/>
    </xf>
    <xf numFmtId="0" fontId="52" fillId="34" borderId="0" xfId="57" applyFont="1" applyFill="1" applyAlignment="1">
      <alignment vertical="center"/>
      <protection/>
    </xf>
    <xf numFmtId="0" fontId="39" fillId="38" borderId="25" xfId="57" applyFont="1" applyFill="1" applyBorder="1" applyAlignment="1">
      <alignment horizontal="center" vertical="center"/>
      <protection/>
    </xf>
    <xf numFmtId="0" fontId="41" fillId="34" borderId="24" xfId="57" applyFont="1" applyFill="1" applyBorder="1" applyAlignment="1">
      <alignment horizontal="center" vertical="center"/>
      <protection/>
    </xf>
    <xf numFmtId="0" fontId="91" fillId="38" borderId="27" xfId="57" applyFont="1" applyFill="1" applyBorder="1" applyAlignment="1">
      <alignment horizontal="center" vertical="center" wrapText="1"/>
      <protection/>
    </xf>
    <xf numFmtId="0" fontId="36" fillId="34" borderId="24" xfId="57" applyFont="1" applyFill="1" applyBorder="1" applyAlignment="1">
      <alignment horizontal="center"/>
      <protection/>
    </xf>
    <xf numFmtId="0" fontId="35" fillId="37" borderId="23" xfId="57" applyFont="1" applyFill="1" applyBorder="1" applyAlignment="1">
      <alignment horizontal="center" vertical="center"/>
      <protection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0" fontId="36" fillId="0" borderId="0" xfId="0" applyFont="1" applyAlignment="1">
      <alignment horizontal="center" vertical="center"/>
    </xf>
    <xf numFmtId="0" fontId="41" fillId="34" borderId="0" xfId="0" applyFont="1" applyFill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6" fillId="34" borderId="0" xfId="0" applyFont="1" applyFill="1" applyAlignment="1">
      <alignment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8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7" fillId="34" borderId="0" xfId="0" applyFont="1" applyFill="1" applyAlignment="1">
      <alignment/>
    </xf>
    <xf numFmtId="0" fontId="46" fillId="0" borderId="0" xfId="0" applyFont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2" fillId="36" borderId="0" xfId="0" applyFont="1" applyFill="1" applyAlignment="1">
      <alignment horizontal="center" vertical="center"/>
    </xf>
    <xf numFmtId="0" fontId="36" fillId="34" borderId="0" xfId="0" applyFont="1" applyFill="1" applyAlignment="1">
      <alignment horizontal="center"/>
    </xf>
    <xf numFmtId="0" fontId="44" fillId="35" borderId="0" xfId="0" applyFont="1" applyFill="1" applyAlignment="1">
      <alignment horizontal="center" vertical="center"/>
    </xf>
    <xf numFmtId="0" fontId="42" fillId="35" borderId="0" xfId="0" applyFont="1" applyFill="1" applyAlignment="1">
      <alignment horizontal="center" vertical="center"/>
    </xf>
    <xf numFmtId="0" fontId="43" fillId="0" borderId="0" xfId="0" applyFont="1" applyAlignment="1">
      <alignment horizontal="center"/>
    </xf>
    <xf numFmtId="0" fontId="44" fillId="37" borderId="0" xfId="0" applyFont="1" applyFill="1" applyAlignment="1">
      <alignment horizontal="center" vertical="center"/>
    </xf>
    <xf numFmtId="0" fontId="42" fillId="37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0" fontId="29" fillId="0" borderId="0" xfId="0" applyFont="1" applyAlignment="1">
      <alignment horizontal="center"/>
    </xf>
    <xf numFmtId="0" fontId="23" fillId="0" borderId="17" xfId="58" applyFont="1" applyBorder="1" applyAlignment="1" applyProtection="1">
      <alignment horizontal="center"/>
      <protection hidden="1"/>
    </xf>
    <xf numFmtId="0" fontId="23" fillId="0" borderId="35" xfId="58" applyFont="1" applyBorder="1" applyAlignment="1" applyProtection="1">
      <alignment horizontal="center"/>
      <protection hidden="1"/>
    </xf>
    <xf numFmtId="0" fontId="23" fillId="0" borderId="18" xfId="58" applyFont="1" applyBorder="1" applyAlignment="1" applyProtection="1">
      <alignment horizontal="center"/>
      <protection hidden="1"/>
    </xf>
    <xf numFmtId="0" fontId="22" fillId="33" borderId="0" xfId="58" applyFont="1" applyFill="1" applyBorder="1" applyAlignment="1" applyProtection="1">
      <alignment horizontal="center"/>
      <protection hidden="1"/>
    </xf>
    <xf numFmtId="0" fontId="6" fillId="33" borderId="17" xfId="58" applyFont="1" applyFill="1" applyBorder="1" applyAlignment="1" applyProtection="1">
      <alignment horizontal="center" vertical="center"/>
      <protection hidden="1"/>
    </xf>
    <xf numFmtId="0" fontId="6" fillId="33" borderId="35" xfId="58" applyFont="1" applyFill="1" applyBorder="1" applyAlignment="1" applyProtection="1">
      <alignment horizontal="center" vertical="center"/>
      <protection hidden="1"/>
    </xf>
    <xf numFmtId="0" fontId="6" fillId="33" borderId="18" xfId="58" applyFont="1" applyFill="1" applyBorder="1" applyAlignment="1" applyProtection="1">
      <alignment horizontal="center" vertical="center"/>
      <protection hidden="1"/>
    </xf>
    <xf numFmtId="0" fontId="19" fillId="33" borderId="36" xfId="58" applyFont="1" applyFill="1" applyBorder="1" applyAlignment="1" applyProtection="1">
      <alignment horizontal="center"/>
      <protection hidden="1"/>
    </xf>
    <xf numFmtId="0" fontId="19" fillId="33" borderId="37" xfId="58" applyFont="1" applyFill="1" applyBorder="1" applyAlignment="1" applyProtection="1">
      <alignment horizontal="center"/>
      <protection hidden="1"/>
    </xf>
    <xf numFmtId="0" fontId="19" fillId="33" borderId="38" xfId="58" applyFont="1" applyFill="1" applyBorder="1" applyAlignment="1" applyProtection="1">
      <alignment horizontal="center"/>
      <protection hidden="1"/>
    </xf>
    <xf numFmtId="0" fontId="23" fillId="0" borderId="11" xfId="58" applyFont="1" applyBorder="1" applyAlignment="1" applyProtection="1">
      <alignment horizontal="center"/>
      <protection hidden="1"/>
    </xf>
    <xf numFmtId="0" fontId="23" fillId="0" borderId="0" xfId="58" applyFont="1" applyBorder="1" applyAlignment="1" applyProtection="1">
      <alignment horizontal="center"/>
      <protection hidden="1"/>
    </xf>
    <xf numFmtId="0" fontId="24" fillId="33" borderId="0" xfId="58" applyFont="1" applyFill="1" applyAlignment="1" applyProtection="1">
      <alignment horizontal="left"/>
      <protection hidden="1"/>
    </xf>
    <xf numFmtId="0" fontId="14" fillId="0" borderId="17" xfId="58" applyFont="1" applyFill="1" applyBorder="1" applyAlignment="1" applyProtection="1">
      <alignment horizontal="center" vertical="center"/>
      <protection hidden="1"/>
    </xf>
    <xf numFmtId="0" fontId="14" fillId="0" borderId="35" xfId="58" applyFont="1" applyFill="1" applyBorder="1" applyAlignment="1" applyProtection="1">
      <alignment horizontal="center" vertical="center"/>
      <protection hidden="1"/>
    </xf>
    <xf numFmtId="0" fontId="14" fillId="0" borderId="18" xfId="58" applyFont="1" applyFill="1" applyBorder="1" applyAlignment="1" applyProtection="1">
      <alignment horizontal="center" vertical="center"/>
      <protection hidden="1"/>
    </xf>
    <xf numFmtId="0" fontId="16" fillId="33" borderId="17" xfId="58" applyFont="1" applyFill="1" applyBorder="1" applyAlignment="1" applyProtection="1">
      <alignment horizontal="center"/>
      <protection hidden="1"/>
    </xf>
    <xf numFmtId="0" fontId="16" fillId="33" borderId="35" xfId="58" applyFont="1" applyFill="1" applyBorder="1" applyAlignment="1" applyProtection="1">
      <alignment horizontal="center"/>
      <protection hidden="1"/>
    </xf>
    <xf numFmtId="0" fontId="16" fillId="33" borderId="18" xfId="58" applyFont="1" applyFill="1" applyBorder="1" applyAlignment="1" applyProtection="1">
      <alignment horizontal="center"/>
      <protection hidden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MSDDVC2 (2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SMS/DDVC Penalty Calculations</a:t>
            </a:r>
          </a:p>
        </c:rich>
      </c:tx>
      <c:layout>
        <c:manualLayout>
          <c:xMode val="factor"/>
          <c:yMode val="factor"/>
          <c:x val="0.04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96"/>
          <c:w val="0.61625"/>
          <c:h val="0.8885"/>
        </c:manualLayout>
      </c:layout>
      <c:barChart>
        <c:barDir val="col"/>
        <c:grouping val="stacked"/>
        <c:varyColors val="0"/>
        <c:ser>
          <c:idx val="13"/>
          <c:order val="0"/>
          <c:tx>
            <c:strRef>
              <c:f>'DDVC Calculator'!$E$53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Calculator'!$F$53:$H$53</c:f>
              <c:numCache/>
            </c:numRef>
          </c:val>
        </c:ser>
        <c:ser>
          <c:idx val="12"/>
          <c:order val="1"/>
          <c:tx>
            <c:strRef>
              <c:f>'DDVC Calculator'!$E$54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Calculator'!$F$54:$H$54</c:f>
              <c:numCache/>
            </c:numRef>
          </c:val>
        </c:ser>
        <c:ser>
          <c:idx val="11"/>
          <c:order val="2"/>
          <c:tx>
            <c:strRef>
              <c:f>'DDVC Calculator'!$E$55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Calculator'!$F$55:$H$55</c:f>
              <c:numCache/>
            </c:numRef>
          </c:val>
        </c:ser>
        <c:ser>
          <c:idx val="0"/>
          <c:order val="3"/>
          <c:tx>
            <c:strRef>
              <c:f>'DDVC Calculator'!$E$56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Calculator'!$F$56:$H$56</c:f>
              <c:numCache/>
            </c:numRef>
          </c:val>
        </c:ser>
        <c:ser>
          <c:idx val="1"/>
          <c:order val="4"/>
          <c:tx>
            <c:strRef>
              <c:f>'DDVC Calculator'!$E$57</c:f>
              <c:strCache>
                <c:ptCount val="1"/>
                <c:pt idx="0">
                  <c:v>Lower SMS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Calculator'!$F$57:$H$57</c:f>
              <c:numCache/>
            </c:numRef>
          </c:val>
        </c:ser>
        <c:ser>
          <c:idx val="2"/>
          <c:order val="5"/>
          <c:tx>
            <c:strRef>
              <c:f>'DDVC Calculator'!$E$58</c:f>
              <c:strCache>
                <c:ptCount val="1"/>
                <c:pt idx="0">
                  <c:v>Free Area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Calculator'!$F$58:$H$58</c:f>
              <c:numCache/>
            </c:numRef>
          </c:val>
        </c:ser>
        <c:ser>
          <c:idx val="3"/>
          <c:order val="6"/>
          <c:tx>
            <c:strRef>
              <c:f>'DDVC Calculator'!$E$59</c:f>
              <c:strCache>
                <c:ptCount val="1"/>
                <c:pt idx="0">
                  <c:v>Upper SMS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Calculator'!$F$59:$H$59</c:f>
              <c:numCache/>
            </c:numRef>
          </c:val>
        </c:ser>
        <c:ser>
          <c:idx val="4"/>
          <c:order val="7"/>
          <c:tx>
            <c:strRef>
              <c:f>'DDVC Calculator'!$E$60</c:f>
              <c:strCache>
                <c:ptCount val="1"/>
                <c:pt idx="0">
                  <c:v>Positive DDVC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Calculator'!$F$60:$H$60</c:f>
              <c:numCache/>
            </c:numRef>
          </c:val>
        </c:ser>
        <c:ser>
          <c:idx val="5"/>
          <c:order val="8"/>
          <c:tx>
            <c:strRef>
              <c:f>'DDVC Calculator'!$E$61</c:f>
              <c:strCache>
                <c:ptCount val="1"/>
                <c:pt idx="0">
                  <c:v>Punitive DDVC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Calculator'!$F$61:$H$61</c:f>
              <c:numCache/>
            </c:numRef>
          </c:val>
        </c:ser>
        <c:ser>
          <c:idx val="6"/>
          <c:order val="9"/>
          <c:tx>
            <c:strRef>
              <c:f>'DDVC Calculator'!$E$62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Calculator'!$F$62:$H$62</c:f>
              <c:numCache/>
            </c:numRef>
          </c:val>
        </c:ser>
        <c:ser>
          <c:idx val="10"/>
          <c:order val="13"/>
          <c:tx>
            <c:strRef>
              <c:f>'DDVC Calculator'!$E$63</c:f>
              <c:strCache>
                <c:ptCount val="1"/>
                <c:pt idx="0">
                  <c:v>N/A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'DDVC Calculator'!$F$63:$H$63</c:f>
              <c:numCache/>
            </c:numRef>
          </c:val>
        </c:ser>
        <c:overlap val="100"/>
        <c:gapWidth val="50"/>
        <c:axId val="35758425"/>
        <c:axId val="53390370"/>
      </c:barChart>
      <c:lineChart>
        <c:grouping val="standard"/>
        <c:varyColors val="0"/>
        <c:ser>
          <c:idx val="7"/>
          <c:order val="10"/>
          <c:tx>
            <c:strRef>
              <c:f>'DDVC Calculator'!$E$64</c:f>
              <c:strCache>
                <c:ptCount val="1"/>
                <c:pt idx="0">
                  <c:v>Allocated Volume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'DDVC Calculator'!$F$64:$H$64</c:f>
              <c:numCache/>
            </c:numRef>
          </c:val>
          <c:smooth val="0"/>
        </c:ser>
        <c:ser>
          <c:idx val="8"/>
          <c:order val="11"/>
          <c:tx>
            <c:strRef>
              <c:f>'DDVC Calculator'!$E$65</c:f>
              <c:strCache>
                <c:ptCount val="1"/>
                <c:pt idx="0">
                  <c:v>Scheduled Volume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'DDVC Calculator'!$F$65:$H$65</c:f>
              <c:numCache/>
            </c:numRef>
          </c:val>
          <c:smooth val="0"/>
        </c:ser>
        <c:ser>
          <c:idx val="9"/>
          <c:order val="12"/>
          <c:tx>
            <c:strRef>
              <c:f>'DDVC Calculator'!$E$66</c:f>
              <c:strCache>
                <c:ptCount val="1"/>
                <c:pt idx="0">
                  <c:v>Firm Entitlement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'DDVC Calculator'!$F$66:$H$66</c:f>
              <c:numCache/>
            </c:numRef>
          </c:val>
          <c:smooth val="0"/>
        </c:ser>
        <c:axId val="35758425"/>
        <c:axId val="53390370"/>
      </c:lineChart>
      <c:catAx>
        <c:axId val="357584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90370"/>
        <c:crosses val="autoZero"/>
        <c:auto val="0"/>
        <c:lblOffset val="100"/>
        <c:tickLblSkip val="1"/>
        <c:noMultiLvlLbl val="0"/>
      </c:catAx>
      <c:valAx>
        <c:axId val="533903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57584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"/>
          <c:y val="0.265"/>
          <c:w val="0.33975"/>
          <c:h val="0.50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123825</xdr:colOff>
      <xdr:row>4</xdr:row>
      <xdr:rowOff>0</xdr:rowOff>
    </xdr:from>
    <xdr:to>
      <xdr:col>15</xdr:col>
      <xdr:colOff>561975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753350" y="781050"/>
        <a:ext cx="4095750" cy="752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northernnaturalgas.com/Document%20Postings/DDVC_Calculator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DVC Calculator"/>
      <sheetName val="DDVC Input Guide"/>
    </sheetNames>
    <sheetDataSet>
      <sheetData sheetId="0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 t="str">
            <v>N</v>
          </cell>
        </row>
        <row r="17">
          <cell r="C17" t="str">
            <v>N</v>
          </cell>
        </row>
        <row r="18">
          <cell r="C18" t="str">
            <v>N</v>
          </cell>
        </row>
        <row r="19">
          <cell r="C19" t="str">
            <v>N</v>
          </cell>
        </row>
        <row r="20">
          <cell r="C20" t="str">
            <v>N</v>
          </cell>
        </row>
        <row r="21">
          <cell r="C21">
            <v>0</v>
          </cell>
        </row>
        <row r="22">
          <cell r="C22" t="str">
            <v>S</v>
          </cell>
        </row>
        <row r="23">
          <cell r="C23">
            <v>0</v>
          </cell>
        </row>
        <row r="27">
          <cell r="C27" t="str">
            <v>Yes</v>
          </cell>
        </row>
        <row r="28">
          <cell r="C28">
            <v>0</v>
          </cell>
        </row>
        <row r="29">
          <cell r="F29" t="str">
            <v>No SMS</v>
          </cell>
        </row>
        <row r="30">
          <cell r="C30">
            <v>0</v>
          </cell>
          <cell r="F30">
            <v>0</v>
          </cell>
        </row>
        <row r="31">
          <cell r="C31">
            <v>0</v>
          </cell>
          <cell r="F31">
            <v>0</v>
          </cell>
        </row>
        <row r="32">
          <cell r="C32">
            <v>0</v>
          </cell>
          <cell r="F32" t="str">
            <v>No SMS</v>
          </cell>
        </row>
        <row r="33">
          <cell r="C3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02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13.140625" style="49" customWidth="1"/>
    <col min="2" max="2" width="11.00390625" style="49" customWidth="1"/>
    <col min="3" max="3" width="12.140625" style="49" customWidth="1"/>
    <col min="4" max="4" width="6.57421875" style="49" customWidth="1"/>
    <col min="5" max="5" width="19.00390625" style="49" customWidth="1"/>
    <col min="6" max="6" width="12.140625" style="49" customWidth="1"/>
    <col min="7" max="7" width="12.140625" style="49" bestFit="1" customWidth="1"/>
    <col min="8" max="8" width="12.140625" style="4" customWidth="1"/>
    <col min="9" max="9" width="16.140625" style="4" bestFit="1" customWidth="1"/>
    <col min="10" max="16" width="9.140625" style="4" customWidth="1"/>
    <col min="17" max="17" width="1.1484375" style="4" customWidth="1"/>
    <col min="18" max="16384" width="9.140625" style="4" customWidth="1"/>
  </cols>
  <sheetData>
    <row r="1" spans="1:39" ht="23.2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"/>
      <c r="R1" s="42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2.75">
      <c r="A2" s="47"/>
      <c r="B2" s="47"/>
      <c r="C2" s="47"/>
      <c r="D2" s="47"/>
      <c r="E2" s="47"/>
      <c r="F2" s="47"/>
      <c r="G2" s="47"/>
      <c r="H2" s="3"/>
      <c r="I2" s="3"/>
      <c r="J2" s="3"/>
      <c r="K2" s="3"/>
      <c r="L2" s="3"/>
      <c r="M2" s="3"/>
      <c r="N2" s="3"/>
      <c r="O2" s="3"/>
      <c r="P2" s="2"/>
      <c r="Q2" s="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</row>
    <row r="3" spans="1:39" ht="12.75">
      <c r="A3" s="53">
        <f>IF(B3="","","Error Message(s) :")</f>
      </c>
      <c r="B3" s="205">
        <f>CONCATENATE(J53,J54,J55,J56,J57,J58,J59,J60,J61,J62,J63,J64,J65,J66,J67,J68,J69,J70,J71,J72,J73,J74,J75,J76,J77,J78,J79)</f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"/>
      <c r="R3" s="4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1:39" ht="12.75">
      <c r="A4" s="47"/>
      <c r="B4" s="47"/>
      <c r="C4" s="47"/>
      <c r="D4" s="47"/>
      <c r="E4" s="47"/>
      <c r="F4" s="47"/>
      <c r="G4" s="47"/>
      <c r="H4" s="3"/>
      <c r="I4" s="3"/>
      <c r="J4" s="3"/>
      <c r="K4" s="3"/>
      <c r="L4" s="3"/>
      <c r="M4" s="3"/>
      <c r="N4" s="3"/>
      <c r="O4" s="3"/>
      <c r="P4" s="2"/>
      <c r="Q4" s="2"/>
      <c r="R4" s="42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</row>
    <row r="5" spans="1:39" ht="12.75">
      <c r="A5" s="197" t="s">
        <v>1</v>
      </c>
      <c r="B5" s="198"/>
      <c r="C5" s="199"/>
      <c r="D5" s="1"/>
      <c r="E5" s="206" t="s">
        <v>2</v>
      </c>
      <c r="F5" s="207"/>
      <c r="G5" s="207"/>
      <c r="H5" s="207"/>
      <c r="I5" s="208"/>
      <c r="J5" s="2"/>
      <c r="K5" s="2"/>
      <c r="L5" s="2"/>
      <c r="M5" s="2"/>
      <c r="N5" s="2"/>
      <c r="O5" s="2"/>
      <c r="P5" s="2"/>
      <c r="Q5" s="2"/>
      <c r="R5" s="4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2.75">
      <c r="A6" s="7"/>
      <c r="B6" s="5"/>
      <c r="C6" s="6"/>
      <c r="D6" s="1"/>
      <c r="E6" s="7"/>
      <c r="F6" s="8"/>
      <c r="G6" s="25"/>
      <c r="H6" s="135" t="s">
        <v>81</v>
      </c>
      <c r="I6" s="136" t="s">
        <v>82</v>
      </c>
      <c r="J6" s="2"/>
      <c r="K6" s="2"/>
      <c r="L6" s="2"/>
      <c r="M6" s="2"/>
      <c r="N6" s="2"/>
      <c r="O6" s="2"/>
      <c r="P6" s="2"/>
      <c r="Q6" s="2"/>
      <c r="R6" s="42"/>
      <c r="S6" s="2"/>
      <c r="T6" s="2"/>
      <c r="U6" s="2"/>
      <c r="V6" s="2"/>
      <c r="W6" s="2"/>
      <c r="X6" s="3"/>
      <c r="Y6" s="3"/>
      <c r="Z6" s="3"/>
      <c r="AA6" s="3"/>
      <c r="AB6" s="3"/>
      <c r="AC6" s="3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s="7"/>
      <c r="B7" s="9" t="s">
        <v>105</v>
      </c>
      <c r="C7" s="48"/>
      <c r="D7" s="1"/>
      <c r="E7" s="7"/>
      <c r="F7" s="10" t="str">
        <f>IF(SULDay="Y","Critical Day - Punitive DDVC Level II (Zero Rate) :","Critical Day - Punitive DDVC Level II :")</f>
        <v>Critical Day - Punitive DDVC Level II :</v>
      </c>
      <c r="G7" s="11" t="str">
        <f>IF(CritDay="Y",IF(G8="None","None",IF(AllocVol&gt;(F27+G8),AllocVol-(F27+G8),"None")),"N/A")</f>
        <v>N/A</v>
      </c>
      <c r="H7" s="143" t="str">
        <f>IF(OR(G7="N/A",G7="None"),"N/A",IF(SULDay="Y",0,IF(Season="S",MAX(F40,I40*IndexRate),IF(Season="O",MAX(G40,I40*IndexRate),MAX(H40,I40*IndexRate)))))</f>
        <v>N/A</v>
      </c>
      <c r="I7" s="137" t="str">
        <f>IF(H7="N/A","N/A",G7*H7)</f>
        <v>N/A</v>
      </c>
      <c r="J7" s="2"/>
      <c r="K7" s="2"/>
      <c r="L7" s="2"/>
      <c r="M7" s="2"/>
      <c r="N7" s="2"/>
      <c r="O7" s="2"/>
      <c r="P7" s="2"/>
      <c r="Q7" s="2"/>
      <c r="R7" s="42"/>
      <c r="S7" s="2"/>
      <c r="T7" s="2"/>
      <c r="U7" s="2"/>
      <c r="V7" s="2"/>
      <c r="W7" s="2"/>
      <c r="X7" s="3"/>
      <c r="Y7" s="3"/>
      <c r="Z7" s="3"/>
      <c r="AA7" s="3"/>
      <c r="AB7" s="3"/>
      <c r="AC7" s="3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2.75">
      <c r="A8" s="7"/>
      <c r="B8" s="9" t="s">
        <v>5</v>
      </c>
      <c r="C8" s="12">
        <v>0</v>
      </c>
      <c r="D8" s="1"/>
      <c r="E8" s="7"/>
      <c r="F8" s="10" t="str">
        <f>IF(SULDay="Y","Critical Day - Punitive DDVC Level I (Zero Rate) :","Critical Day - Punitive DDVC Level I :")</f>
        <v>Critical Day - Punitive DDVC Level I :</v>
      </c>
      <c r="G8" s="11" t="str">
        <f>IF(CritDay="Y",IF(AND(SmallCustPoint="Y",ResSmallCust="Y"),IF(AllocVol&gt;F27,IF(AllocVol&gt;F27+MIN(LEMDQ,650),MIN(LEMDQ,650),AllocVol-F27),"None"),IF(AllocVol&gt;F27,IF(AND(ROUNDUP(0.05*(AllocVol-F27),0)&lt;650,SmallCustPoint="Y"),IF(C15-F27&gt;650,650,AllocVol-F27),ROUNDUP(0.05*(AllocVol-F27),0)),"None")),"N/A")</f>
        <v>N/A</v>
      </c>
      <c r="H8" s="143" t="str">
        <f>IF(OR(G8="N/A",G8="None"),"N/A",IF(SULDay="Y",0,IF(Season="S",MAX(F41,I41*IndexRate),IF(Season="O",MAX(G41,I41*IndexRate),MAX(H41,I41*IndexRate)))))</f>
        <v>N/A</v>
      </c>
      <c r="I8" s="137" t="str">
        <f>IF(H8="N/A","N/A",G8*H8)</f>
        <v>N/A</v>
      </c>
      <c r="J8" s="2"/>
      <c r="K8" s="2"/>
      <c r="L8" s="2"/>
      <c r="M8" s="2"/>
      <c r="N8" s="2"/>
      <c r="O8" s="2"/>
      <c r="P8" s="2"/>
      <c r="Q8" s="2"/>
      <c r="R8" s="42"/>
      <c r="S8" s="2"/>
      <c r="T8" s="2"/>
      <c r="U8" s="2"/>
      <c r="V8" s="2"/>
      <c r="W8" s="2"/>
      <c r="X8" s="3"/>
      <c r="Y8" s="3"/>
      <c r="Z8" s="3"/>
      <c r="AA8" s="3"/>
      <c r="AB8" s="3"/>
      <c r="AC8" s="3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>
      <c r="A9" s="7"/>
      <c r="B9" s="9" t="s">
        <v>32</v>
      </c>
      <c r="C9" s="13">
        <v>0</v>
      </c>
      <c r="D9" s="1"/>
      <c r="E9" s="7"/>
      <c r="F9" s="10" t="str">
        <f>IF(CritDay="Y",IF(SULDay="Y","Critical Day - Positive DDVC Level II (Zero Rate) :","Critical Day - Positive DDVC Level II:"),IF(SULDay="Y","Punitive DDVC (Zero Rate) :","Punitive DDVC :"))</f>
        <v>Punitive DDVC :</v>
      </c>
      <c r="G9" s="11" t="str">
        <f>IF(CritDay="Y",IF(AllocVol&gt;F28,IF(AllocVol&gt;F27,F27-F28,AllocVol-F28),"None"),IF(AllocVol&gt;F27,AllocVol-F27,"None"))</f>
        <v>None</v>
      </c>
      <c r="H9" s="143" t="str">
        <f>IF(OR(G9="N/A",G9="None"),"N/A",IF(CritDay="Y",IF(SULDay="Y",0,IF(Season="S",MAX(F42,I42*IndexRate),IF(Season="O",MAX(G42,I42*IndexRate),MAX(H42,I42*IndexRate)))),IF(SULDay="Y",0,IF(SOLDay="Y",IF(Season="S",MAX(F45,I45*IndexRate),IF(Season="O",MAX(G45,I45*IndexRate),MAX(H45,I45*IndexRate))),IF(Season="S",F44,IF(Season="O",G44,H44))))))</f>
        <v>N/A</v>
      </c>
      <c r="I9" s="137" t="str">
        <f>IF(H9="N/A","N/A",G9*H9)</f>
        <v>N/A</v>
      </c>
      <c r="J9" s="2"/>
      <c r="K9" s="2"/>
      <c r="L9" s="2"/>
      <c r="M9" s="2"/>
      <c r="N9" s="2"/>
      <c r="O9" s="2"/>
      <c r="P9" s="2"/>
      <c r="Q9" s="2"/>
      <c r="R9" s="42"/>
      <c r="S9" s="2"/>
      <c r="T9" s="2"/>
      <c r="U9" s="2"/>
      <c r="V9" s="2"/>
      <c r="W9" s="2"/>
      <c r="X9" s="3"/>
      <c r="Y9" s="3"/>
      <c r="Z9" s="3"/>
      <c r="AA9" s="3"/>
      <c r="AB9" s="3"/>
      <c r="AC9" s="3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>
      <c r="A10" s="7"/>
      <c r="B10" s="9" t="s">
        <v>33</v>
      </c>
      <c r="C10" s="12">
        <v>0</v>
      </c>
      <c r="D10" s="1"/>
      <c r="E10" s="7"/>
      <c r="F10" s="10" t="str">
        <f>IF(CritDay="Y",IF(SULDay="Y","Critical Day - Positive DDVC Level I (Zero Rate) :","Critical Day - Positive DDVC Level I :"),IF(SULDay="Y","Positive DDVC (Zero Rate) :","Positive DDVC :"))</f>
        <v>Positive DDVC :</v>
      </c>
      <c r="G10" s="11" t="str">
        <f>IF(CritDay="Y",IF(LESMS=0,IF(C15&gt;F30,IF(C15&gt;F28,F28-F30,C15-F30),"None"),IF(C15&gt;F29,IF(C15&gt;F28,F28-F29,C15-F29),"None")),IF(LESMS=0,IF(C15&gt;F30,IF(C15&gt;F27,F27-F30,C15-F30),"None"),IF(C15&gt;F29,IF(C15&gt;F27,F27-F29,C15-F29),"None")))</f>
        <v>None</v>
      </c>
      <c r="H10" s="143" t="str">
        <f>IF(OR(G10="N/A",G10="None"),"N/A",IF(CritDay="Y",IF(SULDay="Y",0,IF(Season="S",MAX(F43,I43*IndexRate),IF(Season="O",MAX(G43,I43*IndexRate),MAX(H43,I43*IndexRate)))),IF(SULDay="Y",0,IF(SOLDay="Y",IF(Season="S",MAX(F47,I47*IndexRate),IF(Season="O",MAX(G47,I47*IndexRate),MAX(H47,I47*IndexRate))),IF(Season="S",F46,IF(Season="O",G46,H46))))))</f>
        <v>N/A</v>
      </c>
      <c r="I10" s="137" t="str">
        <f>IF(H10="N/A","N/A",G10*H10)</f>
        <v>N/A</v>
      </c>
      <c r="J10" s="2"/>
      <c r="K10" s="2"/>
      <c r="L10" s="2"/>
      <c r="M10" s="2"/>
      <c r="N10" s="2"/>
      <c r="O10" s="2"/>
      <c r="P10" s="2"/>
      <c r="Q10" s="2"/>
      <c r="R10" s="42"/>
      <c r="S10" s="2"/>
      <c r="T10" s="2"/>
      <c r="U10" s="2"/>
      <c r="V10" s="2"/>
      <c r="W10" s="2"/>
      <c r="X10" s="3"/>
      <c r="Y10" s="3"/>
      <c r="Z10" s="3"/>
      <c r="AA10" s="3"/>
      <c r="AB10" s="3"/>
      <c r="AC10" s="3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.75">
      <c r="A11" s="7"/>
      <c r="B11" s="9" t="s">
        <v>34</v>
      </c>
      <c r="C11" s="13">
        <v>0</v>
      </c>
      <c r="D11" s="1"/>
      <c r="E11" s="7"/>
      <c r="F11" s="10" t="str">
        <f>IF(SULDay="Y",IF(OR(CritDay="Y",SOLDay="Y"),"Negative DDVC SUL (Zero Rate) :","Negative DDVC (SUL Rate) :"),IF(OR(CritDay="Y",SOLDay="Y"),"Negative DDVC (Zero Rate) :","Negative DDVC :"))</f>
        <v>Negative DDVC :</v>
      </c>
      <c r="G11" s="11" t="str">
        <f>IF(LESMS=0,IF(AllocVol&lt;LowerFree,LowerFree-AllocVol,"None"),IF(AllocVol&lt;LowerSMS,LowerSMS-AllocVol,"None"))</f>
        <v>None</v>
      </c>
      <c r="H11" s="143" t="str">
        <f>IF(OR(G11="N/A",G11="None"),"N/A",IF(SULDay="Y",IF(OR(CritDay="Y",SOLDay="Y"),0,IF(Season="S",MAX(F48,I48*IndexRate),IF(Season="O",MAX(G48,I48*IndexRate),MAX(H48,I48*IndexRate)))),IF(OR(CritDay="Y",SOLDay="Y"),0,IF(Season="S",F49,IF(Season="O",G49,H49)))))</f>
        <v>N/A</v>
      </c>
      <c r="I11" s="137" t="str">
        <f>IF(H11="N/A","N/A",G11*H11)</f>
        <v>N/A</v>
      </c>
      <c r="J11" s="2"/>
      <c r="K11" s="2"/>
      <c r="L11" s="2"/>
      <c r="M11" s="2"/>
      <c r="N11" s="2"/>
      <c r="O11" s="2"/>
      <c r="P11" s="2"/>
      <c r="Q11" s="2"/>
      <c r="R11" s="42"/>
      <c r="S11" s="2"/>
      <c r="T11" s="2"/>
      <c r="U11" s="2"/>
      <c r="V11" s="2"/>
      <c r="W11" s="2"/>
      <c r="X11" s="3"/>
      <c r="Y11" s="3"/>
      <c r="Z11" s="3"/>
      <c r="AA11" s="3"/>
      <c r="AB11" s="3"/>
      <c r="AC11" s="3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2.75">
      <c r="A12" s="7"/>
      <c r="B12" s="9" t="s">
        <v>8</v>
      </c>
      <c r="C12" s="13">
        <v>0</v>
      </c>
      <c r="D12" s="1"/>
      <c r="E12" s="7"/>
      <c r="F12" s="10"/>
      <c r="G12" s="134"/>
      <c r="H12" s="2"/>
      <c r="I12" s="138"/>
      <c r="J12" s="2"/>
      <c r="K12" s="2"/>
      <c r="L12" s="2"/>
      <c r="M12" s="2"/>
      <c r="N12" s="2"/>
      <c r="O12" s="2"/>
      <c r="P12" s="2"/>
      <c r="Q12" s="2"/>
      <c r="R12" s="42"/>
      <c r="S12" s="2"/>
      <c r="T12" s="2"/>
      <c r="U12" s="2"/>
      <c r="V12" s="2"/>
      <c r="W12" s="2"/>
      <c r="X12" s="3"/>
      <c r="Y12" s="3"/>
      <c r="Z12" s="3"/>
      <c r="AA12" s="3"/>
      <c r="AB12" s="3"/>
      <c r="AC12" s="3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>
      <c r="A13" s="7"/>
      <c r="B13" s="9" t="s">
        <v>26</v>
      </c>
      <c r="C13" s="13">
        <v>0</v>
      </c>
      <c r="D13" s="1"/>
      <c r="E13" s="14"/>
      <c r="F13" s="15" t="s">
        <v>9</v>
      </c>
      <c r="G13" s="16">
        <f>SUM(G7:G11)</f>
        <v>0</v>
      </c>
      <c r="H13" s="15" t="s">
        <v>92</v>
      </c>
      <c r="I13" s="139">
        <f>SUM(I7:I11)</f>
        <v>0</v>
      </c>
      <c r="J13" s="2"/>
      <c r="K13" s="2"/>
      <c r="L13" s="2"/>
      <c r="M13" s="2"/>
      <c r="N13" s="2"/>
      <c r="O13" s="2"/>
      <c r="P13" s="2"/>
      <c r="Q13" s="2"/>
      <c r="R13" s="42"/>
      <c r="S13" s="2"/>
      <c r="T13" s="2"/>
      <c r="U13" s="2"/>
      <c r="V13" s="2"/>
      <c r="W13" s="2"/>
      <c r="X13" s="3"/>
      <c r="Y13" s="3"/>
      <c r="Z13" s="3"/>
      <c r="AA13" s="3"/>
      <c r="AB13" s="3"/>
      <c r="AC13" s="3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75">
      <c r="A14" s="7"/>
      <c r="B14" s="9" t="s">
        <v>11</v>
      </c>
      <c r="C14" s="13">
        <v>0</v>
      </c>
      <c r="D14" s="1"/>
      <c r="E14" s="1"/>
      <c r="F14" s="10"/>
      <c r="G14" s="128"/>
      <c r="H14" s="10"/>
      <c r="I14" s="147"/>
      <c r="J14" s="2"/>
      <c r="K14" s="2"/>
      <c r="L14" s="2"/>
      <c r="M14" s="2"/>
      <c r="N14" s="2"/>
      <c r="O14" s="2"/>
      <c r="P14" s="2"/>
      <c r="Q14" s="2"/>
      <c r="R14" s="42"/>
      <c r="S14" s="2"/>
      <c r="T14" s="2"/>
      <c r="U14" s="2"/>
      <c r="V14" s="2"/>
      <c r="W14" s="2"/>
      <c r="X14" s="3"/>
      <c r="Y14" s="3"/>
      <c r="Z14" s="3"/>
      <c r="AA14" s="3"/>
      <c r="AB14" s="3"/>
      <c r="AC14" s="3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7"/>
      <c r="B15" s="9" t="s">
        <v>27</v>
      </c>
      <c r="C15" s="13">
        <v>0</v>
      </c>
      <c r="D15" s="1"/>
      <c r="E15" s="1"/>
      <c r="F15" s="10"/>
      <c r="G15" s="128"/>
      <c r="H15" s="2"/>
      <c r="I15" s="2"/>
      <c r="J15" s="2"/>
      <c r="K15" s="2"/>
      <c r="L15" s="2"/>
      <c r="M15" s="2"/>
      <c r="N15" s="2"/>
      <c r="O15" s="2"/>
      <c r="P15" s="2"/>
      <c r="Q15" s="2"/>
      <c r="R15" s="42"/>
      <c r="S15" s="2"/>
      <c r="T15" s="2"/>
      <c r="U15" s="2"/>
      <c r="V15" s="2"/>
      <c r="W15" s="2"/>
      <c r="X15" s="3"/>
      <c r="Y15" s="3"/>
      <c r="Z15" s="3"/>
      <c r="AA15" s="3"/>
      <c r="AB15" s="3"/>
      <c r="AC15" s="3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2.75">
      <c r="A16" s="7"/>
      <c r="B16" s="9" t="s">
        <v>35</v>
      </c>
      <c r="C16" s="43" t="s">
        <v>14</v>
      </c>
      <c r="D16" s="1"/>
      <c r="E16" s="193" t="s">
        <v>19</v>
      </c>
      <c r="F16" s="194"/>
      <c r="G16" s="194"/>
      <c r="H16" s="194"/>
      <c r="I16" s="195"/>
      <c r="J16" s="2"/>
      <c r="K16" s="2"/>
      <c r="L16" s="2"/>
      <c r="M16" s="2"/>
      <c r="N16" s="2"/>
      <c r="O16" s="2"/>
      <c r="P16" s="2"/>
      <c r="Q16" s="2"/>
      <c r="R16" s="42"/>
      <c r="S16" s="2"/>
      <c r="T16" s="2"/>
      <c r="U16" s="2"/>
      <c r="V16" s="2"/>
      <c r="W16" s="2"/>
      <c r="X16" s="3"/>
      <c r="Y16" s="3"/>
      <c r="Z16" s="3"/>
      <c r="AA16" s="3"/>
      <c r="AB16" s="3"/>
      <c r="AC16" s="3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2.75">
      <c r="A17" s="7"/>
      <c r="B17" s="9" t="s">
        <v>15</v>
      </c>
      <c r="C17" s="43" t="s">
        <v>14</v>
      </c>
      <c r="D17" s="1"/>
      <c r="E17" s="203"/>
      <c r="F17" s="204"/>
      <c r="G17" s="204"/>
      <c r="H17" s="2"/>
      <c r="I17" s="131"/>
      <c r="J17" s="2"/>
      <c r="K17" s="2"/>
      <c r="L17" s="2"/>
      <c r="M17" s="2"/>
      <c r="N17" s="2"/>
      <c r="O17" s="2"/>
      <c r="P17" s="2"/>
      <c r="Q17" s="2"/>
      <c r="R17" s="42"/>
      <c r="S17" s="2"/>
      <c r="T17" s="2"/>
      <c r="U17" s="2"/>
      <c r="V17" s="2"/>
      <c r="W17" s="2"/>
      <c r="X17" s="3"/>
      <c r="Y17" s="3"/>
      <c r="Z17" s="3"/>
      <c r="AA17" s="3"/>
      <c r="AB17" s="3"/>
      <c r="AC17" s="3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.75">
      <c r="A18" s="7"/>
      <c r="B18" s="9" t="s">
        <v>17</v>
      </c>
      <c r="C18" s="43" t="s">
        <v>14</v>
      </c>
      <c r="D18" s="1"/>
      <c r="E18" s="18"/>
      <c r="F18" s="19" t="str">
        <f>IF(C15&lt;=LETtlSchdVol,"Total Schd =","Allocated =")</f>
        <v>Total Schd =</v>
      </c>
      <c r="G18" s="17">
        <f>IF(AllocVol&lt;=LETtlSchdVol,LETtlSchdVol,AllocVol)</f>
        <v>0</v>
      </c>
      <c r="H18" s="2"/>
      <c r="I18" s="131"/>
      <c r="J18" s="2"/>
      <c r="K18" s="2"/>
      <c r="L18" s="2"/>
      <c r="M18" s="2"/>
      <c r="N18" s="2"/>
      <c r="O18" s="2"/>
      <c r="P18" s="2"/>
      <c r="Q18" s="2"/>
      <c r="R18" s="42"/>
      <c r="S18" s="2"/>
      <c r="T18" s="2"/>
      <c r="U18" s="2"/>
      <c r="V18" s="2"/>
      <c r="W18" s="2"/>
      <c r="X18" s="3"/>
      <c r="Y18" s="3"/>
      <c r="Z18" s="3"/>
      <c r="AA18" s="3"/>
      <c r="AB18" s="3"/>
      <c r="AC18" s="3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>
      <c r="A19" s="7"/>
      <c r="B19" s="9" t="s">
        <v>30</v>
      </c>
      <c r="C19" s="43" t="s">
        <v>14</v>
      </c>
      <c r="D19" s="1"/>
      <c r="E19" s="18"/>
      <c r="F19" s="19" t="str">
        <f>IF(C15&lt;=LETtlSchdVol,"Allocated =","Total Schd =")</f>
        <v>Allocated =</v>
      </c>
      <c r="G19" s="17">
        <f>IF(AllocVol&lt;=LETtlSchdVol,AllocVol,LETtlSchdVol)</f>
        <v>0</v>
      </c>
      <c r="H19" s="2"/>
      <c r="I19" s="131"/>
      <c r="J19" s="2"/>
      <c r="K19" s="2"/>
      <c r="L19" s="2"/>
      <c r="M19" s="2"/>
      <c r="N19" s="2"/>
      <c r="O19" s="2"/>
      <c r="P19" s="2"/>
      <c r="Q19" s="2"/>
      <c r="R19" s="42"/>
      <c r="S19" s="2"/>
      <c r="T19" s="2"/>
      <c r="U19" s="2"/>
      <c r="V19" s="2"/>
      <c r="W19" s="2"/>
      <c r="X19" s="3"/>
      <c r="Y19" s="3"/>
      <c r="Z19" s="3"/>
      <c r="AA19" s="3"/>
      <c r="AB19" s="3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2.75">
      <c r="A20" s="7"/>
      <c r="B20" s="31" t="s">
        <v>18</v>
      </c>
      <c r="C20" s="43" t="s">
        <v>14</v>
      </c>
      <c r="D20" s="1"/>
      <c r="E20" s="18"/>
      <c r="F20" s="19" t="s">
        <v>16</v>
      </c>
      <c r="G20" s="17">
        <f>G18-G19</f>
        <v>0</v>
      </c>
      <c r="H20" s="2"/>
      <c r="I20" s="131"/>
      <c r="J20" s="2"/>
      <c r="K20" s="2"/>
      <c r="L20" s="2"/>
      <c r="M20" s="2"/>
      <c r="N20" s="2"/>
      <c r="O20" s="2"/>
      <c r="P20" s="2"/>
      <c r="Q20" s="2"/>
      <c r="R20" s="42"/>
      <c r="S20" s="2"/>
      <c r="T20" s="2"/>
      <c r="U20" s="2"/>
      <c r="V20" s="2"/>
      <c r="W20" s="2"/>
      <c r="X20" s="3"/>
      <c r="Y20" s="3"/>
      <c r="Z20" s="3"/>
      <c r="AA20" s="3"/>
      <c r="AB20" s="3"/>
      <c r="AC20" s="3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>
      <c r="A21" s="7"/>
      <c r="B21" s="31" t="s">
        <v>28</v>
      </c>
      <c r="C21" s="30">
        <v>0</v>
      </c>
      <c r="D21" s="1"/>
      <c r="E21" s="18"/>
      <c r="F21" s="19" t="str">
        <f>IF(AllocVol&gt;LETtlSchdVol,IF(AND(SOLDay="Y",SmallCustPoint="N"),"4% Point Tolerance =",IF(AND(CritDay="Y",SmallCustPoint="N"),"3% Point Tolerance =","5% Point Tolerance =")),"5% Point Tolerance =")</f>
        <v>5% Point Tolerance =</v>
      </c>
      <c r="G21" s="17">
        <f>IF(AND(EntldToUpperFivePrcntTlrnc="No",AllocVol&gt;LETtlSchdVol),0,IF(AND(SULDay="Y",AllocVol&lt;LETtlSchdVol,SmallCustPoint="Y"),LowerPrcntTlrnc,IF(AND(SULDay="Y",AllocVol&lt;LETtlSchdVol,SmallCustPoint="N"),0,IF(AND(UpperPrcntTlrnc+LETtlSchdVol&gt;FE,OR(CritDay="Y",SOLDay="Y"),SmallCustPoint="N",AllocVol&gt;=LETtlSchdVol),FE-LETtlSchdVol,IF(AllocVol&gt;LETtlSchdVol,UpperPrcntTlrnc,LowerPrcntTlrnc)))))</f>
        <v>0</v>
      </c>
      <c r="H21" s="135" t="s">
        <v>81</v>
      </c>
      <c r="I21" s="136" t="s">
        <v>82</v>
      </c>
      <c r="J21" s="2"/>
      <c r="K21" s="2"/>
      <c r="L21" s="2"/>
      <c r="M21" s="2"/>
      <c r="N21" s="2"/>
      <c r="O21" s="2"/>
      <c r="P21" s="2"/>
      <c r="Q21" s="2"/>
      <c r="R21" s="42"/>
      <c r="S21" s="2"/>
      <c r="T21" s="2"/>
      <c r="U21" s="2"/>
      <c r="V21" s="2"/>
      <c r="W21" s="2"/>
      <c r="X21" s="3"/>
      <c r="Y21" s="3"/>
      <c r="Z21" s="3"/>
      <c r="AA21" s="3"/>
      <c r="AB21" s="3"/>
      <c r="AC21" s="3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7"/>
      <c r="B22" s="148" t="s">
        <v>95</v>
      </c>
      <c r="C22" s="43" t="s">
        <v>96</v>
      </c>
      <c r="D22" s="1"/>
      <c r="E22" s="18"/>
      <c r="F22" s="127" t="str">
        <f>IF(LESMS=0,"SMS =",IF(C15=LETtlSchdVol,"SMS =",IF(C15&lt;LETtlSchdVol,"Negative SMS =","Postive SMS =")))</f>
        <v>SMS =</v>
      </c>
      <c r="G22" s="22" t="str">
        <f>IF(LESMS=0,"None",IF(AllocVol&gt;F30,IF(AllocVol&gt;F29,F29-F30,AllocVol-F30),IF(AllocVol&lt;LowerFree,IF(AllocVol&lt;LowerSMS,LowerFree-LowerSMS,LowerFree-AllocVol),"None")))</f>
        <v>None</v>
      </c>
      <c r="H22" s="142" t="str">
        <f>IF(OR(G22="N/A",G22="None"),"N/A",IF(Season="S",F50,IF(Season="O",G50,H50)))</f>
        <v>N/A</v>
      </c>
      <c r="I22" s="137" t="str">
        <f>IF(H22="N/A","N/A",G22*H22)</f>
        <v>N/A</v>
      </c>
      <c r="J22" s="2"/>
      <c r="K22" s="2"/>
      <c r="L22" s="2"/>
      <c r="M22" s="2"/>
      <c r="N22" s="2"/>
      <c r="O22" s="2"/>
      <c r="P22" s="2"/>
      <c r="Q22" s="2"/>
      <c r="R22" s="42"/>
      <c r="S22" s="2"/>
      <c r="T22" s="2"/>
      <c r="U22" s="2"/>
      <c r="V22" s="2"/>
      <c r="W22" s="2"/>
      <c r="X22" s="3"/>
      <c r="Y22" s="3"/>
      <c r="Z22" s="3"/>
      <c r="AA22" s="3"/>
      <c r="AB22" s="3"/>
      <c r="AC22" s="3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14"/>
      <c r="B23" s="149" t="s">
        <v>103</v>
      </c>
      <c r="C23" s="150">
        <v>0</v>
      </c>
      <c r="D23" s="1"/>
      <c r="E23" s="20"/>
      <c r="F23" s="21" t="s">
        <v>19</v>
      </c>
      <c r="G23" s="22" t="str">
        <f>IF(G20-SUM(G21:G22)&lt;=0,"None",G20-SUM(G21:G22))</f>
        <v>None</v>
      </c>
      <c r="H23" s="132"/>
      <c r="I23" s="133"/>
      <c r="J23" s="2"/>
      <c r="K23" s="2"/>
      <c r="L23" s="2"/>
      <c r="M23" s="2"/>
      <c r="N23" s="2"/>
      <c r="O23" s="2"/>
      <c r="P23" s="2"/>
      <c r="Q23" s="2"/>
      <c r="R23" s="42"/>
      <c r="S23" s="2"/>
      <c r="T23" s="2"/>
      <c r="U23" s="2"/>
      <c r="V23" s="2"/>
      <c r="W23" s="2"/>
      <c r="X23" s="3"/>
      <c r="Y23" s="3"/>
      <c r="Z23" s="3"/>
      <c r="AA23" s="3"/>
      <c r="AB23" s="3"/>
      <c r="AC23" s="3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1"/>
      <c r="B24" s="9"/>
      <c r="C24" s="50"/>
      <c r="D24" s="1"/>
      <c r="E24" s="44"/>
      <c r="F24" s="45"/>
      <c r="G24" s="46"/>
      <c r="H24" s="2"/>
      <c r="I24" s="2"/>
      <c r="J24" s="2"/>
      <c r="K24" s="2"/>
      <c r="L24" s="2"/>
      <c r="M24" s="2"/>
      <c r="N24" s="2"/>
      <c r="O24" s="2"/>
      <c r="P24" s="2"/>
      <c r="Q24" s="2"/>
      <c r="R24" s="42"/>
      <c r="S24" s="2"/>
      <c r="T24" s="2"/>
      <c r="U24" s="2"/>
      <c r="V24" s="2"/>
      <c r="W24" s="2"/>
      <c r="X24" s="3"/>
      <c r="Y24" s="3"/>
      <c r="Z24" s="3"/>
      <c r="AA24" s="3"/>
      <c r="AB24" s="3"/>
      <c r="AC24" s="3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209" t="s">
        <v>20</v>
      </c>
      <c r="B25" s="210"/>
      <c r="C25" s="210"/>
      <c r="D25" s="210"/>
      <c r="E25" s="210"/>
      <c r="F25" s="210"/>
      <c r="G25" s="210"/>
      <c r="H25" s="210"/>
      <c r="I25" s="211"/>
      <c r="J25" s="2"/>
      <c r="K25" s="2"/>
      <c r="L25" s="2"/>
      <c r="M25" s="2"/>
      <c r="N25" s="2"/>
      <c r="O25" s="2"/>
      <c r="P25" s="2"/>
      <c r="Q25" s="2"/>
      <c r="R25" s="42"/>
      <c r="S25" s="2"/>
      <c r="T25" s="2"/>
      <c r="U25" s="2"/>
      <c r="V25" s="2"/>
      <c r="W25" s="2"/>
      <c r="X25" s="3"/>
      <c r="Y25" s="3"/>
      <c r="Z25" s="3"/>
      <c r="AA25" s="3"/>
      <c r="AB25" s="3"/>
      <c r="AC25" s="3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7"/>
      <c r="B26" s="140"/>
      <c r="C26" s="140"/>
      <c r="D26" s="1"/>
      <c r="E26" s="140"/>
      <c r="F26" s="140"/>
      <c r="G26" s="1"/>
      <c r="H26" s="2"/>
      <c r="I26" s="131"/>
      <c r="J26" s="2"/>
      <c r="K26" s="2"/>
      <c r="L26" s="2"/>
      <c r="M26" s="2"/>
      <c r="N26" s="2"/>
      <c r="O26" s="2"/>
      <c r="P26" s="2"/>
      <c r="Q26" s="2"/>
      <c r="R26" s="42"/>
      <c r="S26" s="2"/>
      <c r="T26" s="2"/>
      <c r="U26" s="2"/>
      <c r="V26" s="2"/>
      <c r="W26" s="2"/>
      <c r="X26" s="3"/>
      <c r="Y26" s="3"/>
      <c r="Z26" s="3"/>
      <c r="AA26" s="3"/>
      <c r="AB26" s="3"/>
      <c r="AC26" s="3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7"/>
      <c r="B27" s="23" t="str">
        <f>IF(AND(SOLDay="Y",SmallCustPoint="N"),"Entitled to Upper 4% Tolerance :",IF(AND(CritDay="Y",SmallCustPoint="N"),"Entitled to Upper 3% Tolerance :","Entitled to Upper 5% Tolerance :"))</f>
        <v>Entitled to Upper 5% Tolerance :</v>
      </c>
      <c r="C27" s="24" t="str">
        <f>IF(AND(OR(CritDay="Y",SOLDay="Y"),SmallCustPoint="N",LETtlSchdVol&gt;=FE+N("NOTE: FE is the Ceiling")),"No","Yes")</f>
        <v>Yes</v>
      </c>
      <c r="D27" s="1"/>
      <c r="E27" s="23" t="str">
        <f>IF(CritDay="Y","Upper Positive DDVC Level II","Upper DDVC")</f>
        <v>Upper DDVC</v>
      </c>
      <c r="F27" s="24">
        <f>UpperFivePrcntDDVC+MAX(UpperSMS,UpperFree,FE)</f>
        <v>0</v>
      </c>
      <c r="G27" s="1"/>
      <c r="H27" s="2"/>
      <c r="I27" s="131"/>
      <c r="J27" s="2"/>
      <c r="K27" s="2"/>
      <c r="L27" s="2"/>
      <c r="M27" s="2"/>
      <c r="N27" s="2"/>
      <c r="O27" s="2"/>
      <c r="P27" s="2"/>
      <c r="Q27" s="2"/>
      <c r="R27" s="4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 customHeight="1">
      <c r="A28" s="7"/>
      <c r="B28" s="23" t="str">
        <f>IF(AND(SOLDay="Y",SmallCustPoint="N"),"4% Upper Tolerance :",IF(AND(CritDay="Y",SmallCustPoint="N"),"3% Upper Tolerance :","5% Upper Tolerance :"))</f>
        <v>5% Upper Tolerance :</v>
      </c>
      <c r="C28" s="24">
        <f>IF(SmallCustPoint="Y",IF(ResSmallCust="Y",MIN(LEMDQ,650),IF((TlrncCalcs*0.05)&lt;650,650,ROUND(0.05*TlrncCalcs,0))),ROUND((IF(AND(SOLDay="Y",SmallCustPoint="N"),0.04,IF(AND(CritDay="Y",SmallCustPoint="N"),0.03,0.05)))*TlrncCalcs,0))</f>
        <v>0</v>
      </c>
      <c r="D28" s="1"/>
      <c r="E28" s="141" t="s">
        <v>21</v>
      </c>
      <c r="F28" s="24" t="str">
        <f>IF(CritDay="N","N/A",ROUND(UpperFivePrcntDDVC*0.4+0.5,0)+MAX(UpperSMS,UpperFree,FE))</f>
        <v>N/A</v>
      </c>
      <c r="G28" s="1"/>
      <c r="H28" s="2"/>
      <c r="I28" s="131"/>
      <c r="J28" s="2"/>
      <c r="K28" s="2"/>
      <c r="L28" s="2"/>
      <c r="M28" s="2"/>
      <c r="N28" s="2"/>
      <c r="O28" s="2"/>
      <c r="P28" s="2"/>
      <c r="Q28" s="2"/>
      <c r="R28" s="4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7"/>
      <c r="B29" s="23" t="s">
        <v>106</v>
      </c>
      <c r="C29" s="24" t="str">
        <f>IF(AND(SULDay="Y",SmallCustPoint="N"),"No","Yes")</f>
        <v>Yes</v>
      </c>
      <c r="D29" s="1"/>
      <c r="E29" s="23" t="s">
        <v>7</v>
      </c>
      <c r="F29" s="24" t="str">
        <f>IF(LESMS=0,"No SMS",IF(AND(OR(CritDay="Y",SOLDay="Y"),SmallCustPoint="N"),IF(UpperFree+LESMS&lt;=FE,UpperFree+LESMS,IF(SMSPrcnt=0,MAX(UpperFree,FE),IF(UpperFree&gt;=FE,UpperFree+ROUNDUP(SMSPrcnt*LESMS,0),MIN(UpperFree+LESMS,FE+ROUNDUP(SMSPrcnt*LESMS,0))))),UpperFree+LESMS))</f>
        <v>No SMS</v>
      </c>
      <c r="G29" s="1"/>
      <c r="H29" s="2"/>
      <c r="I29" s="131"/>
      <c r="J29" s="2"/>
      <c r="K29" s="2"/>
      <c r="L29" s="2"/>
      <c r="M29" s="2"/>
      <c r="N29" s="2"/>
      <c r="O29" s="2"/>
      <c r="P29" s="2"/>
      <c r="Q29" s="2"/>
      <c r="R29" s="4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7"/>
      <c r="B30" s="23" t="s">
        <v>107</v>
      </c>
      <c r="C30" s="24">
        <f>IF(SmallCustPoint="Y",IF(ResSmallCust="Y",MIN(LEMDQ,650),IF(TlrncCalcs*0.05&lt;650,650,ROUND(0.05*TlrncCalcs,0))),ROUND(0.05*TlrncCalcs,0))</f>
        <v>0</v>
      </c>
      <c r="D30" s="1"/>
      <c r="E30" s="23" t="s">
        <v>23</v>
      </c>
      <c r="F30" s="24">
        <f>IF(EntldToUpperFivePrcntTlrnc="No",LETtlSchdVol,IF(AND(LETtlSchdVol+UpperPrcntTlrnc&gt;FE,AND(OR(CritDay="Y",SOLDay="Y"),SmallCustPoint="N")),FE,LETtlSchdVol+UpperPrcntTlrnc))</f>
        <v>0</v>
      </c>
      <c r="G30" s="1"/>
      <c r="H30" s="2"/>
      <c r="I30" s="131"/>
      <c r="J30" s="2"/>
      <c r="K30" s="2"/>
      <c r="L30" s="2"/>
      <c r="M30" s="2"/>
      <c r="N30" s="2"/>
      <c r="O30" s="2"/>
      <c r="P30" s="2"/>
      <c r="Q30" s="2"/>
      <c r="R30" s="4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7"/>
      <c r="B31" s="23" t="s">
        <v>22</v>
      </c>
      <c r="C31" s="24">
        <f>LEPriFirmSchd+LEAltFirmSchd+LEOverrunSchd+LEItrblSchd</f>
        <v>0</v>
      </c>
      <c r="D31" s="1"/>
      <c r="E31" s="23" t="s">
        <v>24</v>
      </c>
      <c r="F31" s="24">
        <f>IF(AND(SULDay="Y",SmallCustPoint="N"),LETtlSchdVol,IF(AND(LETtlSchdVol-LowerPrcntTlrnc&lt;0,AllocVol&gt;=0),0,IF(AllocVol&lt;0,MAX(LETtlSchdVol-LowerPrcntTlrnc,AllocVol),LETtlSchdVol-LowerPrcntTlrnc)))</f>
        <v>0</v>
      </c>
      <c r="G31" s="1"/>
      <c r="H31" s="2"/>
      <c r="I31" s="131"/>
      <c r="J31" s="2"/>
      <c r="K31" s="2"/>
      <c r="L31" s="2"/>
      <c r="M31" s="2"/>
      <c r="N31" s="2"/>
      <c r="O31" s="2"/>
      <c r="P31" s="2"/>
      <c r="Q31" s="2"/>
      <c r="R31" s="4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2.75">
      <c r="A32" s="7"/>
      <c r="B32" s="58" t="s">
        <v>36</v>
      </c>
      <c r="C32" s="24">
        <f>IF(AND(OR(CritDay="Y",SOLDay="Y"),SmallCustPoint="N")+N("FIRM ENTITLEMENT: IF Critical Day or SOL Day and NOT Small Customer Point"),IF(LEPriFirmSchd&gt;=LEMDQ+N("TRUE: IF Primary Firm Schd &gt;= MDQ"),LEPriFirmSchd+LEAltFirmSchd+LEOverrunSchd+LEItrblSchd+N("    TRUE:  Add Primary Firm + Alternate Firm + Overrun + Interruptible"),LEMDQ+N("    FALSE: MDQ")),LEAltFirmSchd+LEOverrunSchd+LEItrblSchd+LEMDQ)+N("FALSE: Add Alternate Firm + Overrun + Interruptible + MDQ")</f>
        <v>0</v>
      </c>
      <c r="D32" s="1"/>
      <c r="E32" s="23" t="s">
        <v>4</v>
      </c>
      <c r="F32" s="24" t="str">
        <f>IF(LESMS=0,"No SMS",IF(AND(LowerFree-LESMS&lt;0,AllocVol&gt;=0),0,IF(AllocVol&lt;0,MAX(LowerFree-LESMS,AllocVol),LowerFree-LESMS)))</f>
        <v>No SMS</v>
      </c>
      <c r="G32" s="1"/>
      <c r="H32" s="2"/>
      <c r="I32" s="131"/>
      <c r="J32" s="2"/>
      <c r="K32" s="2"/>
      <c r="L32" s="2"/>
      <c r="M32" s="2"/>
      <c r="N32" s="2"/>
      <c r="O32" s="2"/>
      <c r="P32" s="2"/>
      <c r="Q32" s="2"/>
      <c r="R32" s="4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>
      <c r="A33" s="7"/>
      <c r="B33" s="23" t="s">
        <v>25</v>
      </c>
      <c r="C33" s="24">
        <f>IF(AND(SmallCustPoint="Y",ResSmallCust="Y"),MIN(LEMDQ,650),IF(LETtlSchdVol&gt;LEMDQ,IF(AND(SmallCustPoint="Y",0.05*LETtlSchdVol&lt;650),650,ROUND(0.05*LETtlSchdVol,0)),IF(AND(SmallCustPoint="Y",0.05*LEMDQ&lt;650),650,ROUND(0.05*LEMDQ,0))))</f>
        <v>0</v>
      </c>
      <c r="D33" s="1"/>
      <c r="E33" s="23"/>
      <c r="F33" s="152"/>
      <c r="G33" s="1"/>
      <c r="H33" s="2"/>
      <c r="I33" s="131"/>
      <c r="J33" s="2"/>
      <c r="K33" s="2"/>
      <c r="L33" s="2"/>
      <c r="M33" s="2"/>
      <c r="N33" s="2"/>
      <c r="O33" s="2"/>
      <c r="P33" s="2"/>
      <c r="Q33" s="2"/>
      <c r="R33" s="4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>
      <c r="A34" s="14"/>
      <c r="B34" s="25"/>
      <c r="C34" s="25"/>
      <c r="D34" s="25"/>
      <c r="E34" s="25"/>
      <c r="F34" s="25"/>
      <c r="G34" s="25"/>
      <c r="H34" s="132"/>
      <c r="I34" s="133"/>
      <c r="J34" s="2"/>
      <c r="K34" s="2"/>
      <c r="L34" s="2"/>
      <c r="M34" s="2"/>
      <c r="N34" s="2"/>
      <c r="O34" s="2"/>
      <c r="P34" s="2"/>
      <c r="Q34" s="2"/>
      <c r="R34" s="4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2.75">
      <c r="A35" s="1" t="s">
        <v>104</v>
      </c>
      <c r="B35" s="1"/>
      <c r="C35" s="1"/>
      <c r="D35" s="1"/>
      <c r="E35" s="1"/>
      <c r="F35" s="1"/>
      <c r="G35" s="1"/>
      <c r="H35" s="2"/>
      <c r="I35" s="2"/>
      <c r="J35" s="2"/>
      <c r="K35" s="2"/>
      <c r="L35" s="2"/>
      <c r="M35" s="2"/>
      <c r="N35" s="2"/>
      <c r="O35" s="2"/>
      <c r="P35" s="2"/>
      <c r="Q35" s="2"/>
      <c r="R35" s="4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12.75">
      <c r="A36" s="59" t="s">
        <v>37</v>
      </c>
      <c r="B36" s="1"/>
      <c r="C36" s="1"/>
      <c r="D36" s="1"/>
      <c r="E36" s="1"/>
      <c r="F36" s="1"/>
      <c r="G36" s="1"/>
      <c r="H36" s="2"/>
      <c r="I36" s="2"/>
      <c r="J36" s="2"/>
      <c r="K36" s="2"/>
      <c r="L36" s="2"/>
      <c r="M36" s="2"/>
      <c r="N36" s="2"/>
      <c r="O36" s="2"/>
      <c r="P36" s="2"/>
      <c r="Q36" s="2"/>
      <c r="R36" s="4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1" t="s">
        <v>80</v>
      </c>
      <c r="B37" s="1"/>
      <c r="C37" s="1"/>
      <c r="D37" s="1"/>
      <c r="E37" s="1"/>
      <c r="F37" s="1"/>
      <c r="G37" s="1"/>
      <c r="H37" s="2"/>
      <c r="I37" s="2"/>
      <c r="J37" s="2"/>
      <c r="K37" s="2"/>
      <c r="L37" s="2"/>
      <c r="M37" s="2"/>
      <c r="N37" s="2"/>
      <c r="O37" s="2"/>
      <c r="P37" s="2"/>
      <c r="Q37" s="2"/>
      <c r="R37" s="4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4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2.75">
      <c r="A39" s="1"/>
      <c r="B39" s="1"/>
      <c r="C39" s="1"/>
      <c r="D39" s="1"/>
      <c r="E39" s="130" t="s">
        <v>100</v>
      </c>
      <c r="F39" s="144" t="s">
        <v>97</v>
      </c>
      <c r="G39" s="144" t="s">
        <v>98</v>
      </c>
      <c r="H39" s="144" t="s">
        <v>99</v>
      </c>
      <c r="I39" s="145" t="s">
        <v>101</v>
      </c>
      <c r="J39" s="2"/>
      <c r="K39" s="2"/>
      <c r="L39" s="2"/>
      <c r="M39" s="2"/>
      <c r="N39" s="2"/>
      <c r="O39" s="2"/>
      <c r="P39" s="2"/>
      <c r="Q39" s="2"/>
      <c r="R39" s="4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2:39" ht="12.75">
      <c r="B40" s="1"/>
      <c r="C40" s="1"/>
      <c r="D40" s="1"/>
      <c r="E40" s="44" t="s">
        <v>83</v>
      </c>
      <c r="F40" s="129">
        <v>113</v>
      </c>
      <c r="G40" s="129">
        <v>113</v>
      </c>
      <c r="H40" s="129">
        <v>113</v>
      </c>
      <c r="I40" s="129">
        <v>3</v>
      </c>
      <c r="J40" s="2"/>
      <c r="K40" s="2"/>
      <c r="L40" s="2"/>
      <c r="M40" s="2"/>
      <c r="N40" s="2"/>
      <c r="O40" s="2"/>
      <c r="P40" s="2"/>
      <c r="Q40" s="2"/>
      <c r="R40" s="4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2.75">
      <c r="A41" s="1"/>
      <c r="B41" s="1"/>
      <c r="C41" s="1"/>
      <c r="D41" s="1"/>
      <c r="E41" s="130" t="s">
        <v>84</v>
      </c>
      <c r="F41" s="129">
        <v>56.5</v>
      </c>
      <c r="G41" s="129">
        <v>56.5</v>
      </c>
      <c r="H41" s="129">
        <v>56.5</v>
      </c>
      <c r="I41" s="129">
        <v>2</v>
      </c>
      <c r="J41" s="2"/>
      <c r="K41" s="2"/>
      <c r="L41" s="2"/>
      <c r="M41" s="2"/>
      <c r="N41" s="2"/>
      <c r="O41" s="2"/>
      <c r="P41" s="2"/>
      <c r="Q41" s="2"/>
      <c r="R41" s="4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2:39" ht="12.75">
      <c r="B42" s="1"/>
      <c r="C42" s="1"/>
      <c r="D42" s="1"/>
      <c r="E42" s="44" t="s">
        <v>85</v>
      </c>
      <c r="F42" s="129">
        <v>22</v>
      </c>
      <c r="G42" s="129">
        <v>22</v>
      </c>
      <c r="H42" s="129">
        <v>22</v>
      </c>
      <c r="I42" s="129">
        <v>1.75</v>
      </c>
      <c r="J42" s="2"/>
      <c r="K42" s="2"/>
      <c r="L42" s="2"/>
      <c r="M42" s="2"/>
      <c r="N42" s="2"/>
      <c r="O42" s="2"/>
      <c r="P42" s="2"/>
      <c r="Q42" s="2"/>
      <c r="R42" s="4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2:39" ht="12.75">
      <c r="B43" s="1"/>
      <c r="C43" s="1"/>
      <c r="E43" s="44" t="s">
        <v>87</v>
      </c>
      <c r="F43" s="129">
        <v>15</v>
      </c>
      <c r="G43" s="129">
        <v>15</v>
      </c>
      <c r="H43" s="129">
        <v>15</v>
      </c>
      <c r="I43" s="129">
        <v>1.5</v>
      </c>
      <c r="J43" s="2"/>
      <c r="K43" s="2"/>
      <c r="L43" s="2"/>
      <c r="M43" s="2"/>
      <c r="N43" s="2"/>
      <c r="O43" s="2"/>
      <c r="P43" s="2"/>
      <c r="Q43" s="2"/>
      <c r="R43" s="4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2:39" ht="12.75">
      <c r="B44" s="1"/>
      <c r="C44" s="1"/>
      <c r="D44" s="1"/>
      <c r="E44" s="44" t="s">
        <v>86</v>
      </c>
      <c r="F44" s="129">
        <v>0.3461</v>
      </c>
      <c r="G44" s="129">
        <v>0.3461</v>
      </c>
      <c r="H44" s="129">
        <v>0.8762</v>
      </c>
      <c r="I44" s="146" t="s">
        <v>102</v>
      </c>
      <c r="J44" s="2"/>
      <c r="K44" s="2"/>
      <c r="L44" s="2"/>
      <c r="M44" s="2"/>
      <c r="N44" s="2"/>
      <c r="O44" s="2"/>
      <c r="P44" s="2"/>
      <c r="Q44" s="2"/>
      <c r="R44" s="4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2:39" ht="12.75">
      <c r="B45" s="1"/>
      <c r="C45" s="1"/>
      <c r="D45" s="1"/>
      <c r="E45" s="130" t="s">
        <v>93</v>
      </c>
      <c r="F45" s="129">
        <v>21.275</v>
      </c>
      <c r="G45" s="129">
        <v>21.275</v>
      </c>
      <c r="H45" s="129">
        <v>21.275</v>
      </c>
      <c r="I45" s="129">
        <v>2</v>
      </c>
      <c r="J45" s="2"/>
      <c r="K45" s="2"/>
      <c r="L45" s="2"/>
      <c r="M45" s="2"/>
      <c r="N45" s="2"/>
      <c r="O45" s="2"/>
      <c r="P45" s="2"/>
      <c r="Q45" s="2"/>
      <c r="R45" s="4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2:39" ht="12.75">
      <c r="B46" s="1"/>
      <c r="C46" s="1"/>
      <c r="D46" s="1"/>
      <c r="E46" s="44" t="s">
        <v>88</v>
      </c>
      <c r="F46" s="129">
        <v>0.3461</v>
      </c>
      <c r="G46" s="129">
        <v>0.3461</v>
      </c>
      <c r="H46" s="129">
        <v>0.8762</v>
      </c>
      <c r="I46" s="146" t="s">
        <v>102</v>
      </c>
      <c r="J46" s="2"/>
      <c r="K46" s="2"/>
      <c r="L46" s="2"/>
      <c r="M46" s="2"/>
      <c r="N46" s="2"/>
      <c r="O46" s="2"/>
      <c r="P46" s="2"/>
      <c r="Q46" s="2"/>
      <c r="R46" s="4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2:39" ht="12.75">
      <c r="B47" s="1"/>
      <c r="C47" s="1"/>
      <c r="D47" s="1"/>
      <c r="E47" s="130" t="s">
        <v>94</v>
      </c>
      <c r="F47" s="129">
        <v>1</v>
      </c>
      <c r="G47" s="129">
        <v>1</v>
      </c>
      <c r="H47" s="129">
        <v>1</v>
      </c>
      <c r="I47" s="129">
        <v>1.25</v>
      </c>
      <c r="J47" s="2"/>
      <c r="K47" s="2"/>
      <c r="L47" s="2"/>
      <c r="M47" s="2"/>
      <c r="N47" s="2"/>
      <c r="O47" s="2"/>
      <c r="P47" s="2"/>
      <c r="Q47" s="2"/>
      <c r="R47" s="4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49" t="s">
        <v>112</v>
      </c>
      <c r="B48" s="1"/>
      <c r="C48" s="1"/>
      <c r="D48" s="1"/>
      <c r="E48" s="44" t="s">
        <v>89</v>
      </c>
      <c r="F48" s="129">
        <v>1</v>
      </c>
      <c r="G48" s="129">
        <v>1</v>
      </c>
      <c r="H48" s="129">
        <v>1</v>
      </c>
      <c r="I48" s="129">
        <v>1.25</v>
      </c>
      <c r="J48" s="2"/>
      <c r="K48" s="2"/>
      <c r="L48" s="2"/>
      <c r="M48" s="2"/>
      <c r="N48" s="2"/>
      <c r="O48" s="2"/>
      <c r="P48" s="2"/>
      <c r="Q48" s="2"/>
      <c r="R48" s="4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.75">
      <c r="A49" s="49" t="s">
        <v>113</v>
      </c>
      <c r="B49" s="1"/>
      <c r="C49" s="1"/>
      <c r="D49" s="1"/>
      <c r="E49" s="44" t="s">
        <v>90</v>
      </c>
      <c r="F49" s="129">
        <v>0.3461</v>
      </c>
      <c r="G49" s="129">
        <v>0.3461</v>
      </c>
      <c r="H49" s="129">
        <v>0.8762</v>
      </c>
      <c r="I49" s="146" t="s">
        <v>102</v>
      </c>
      <c r="J49" s="2"/>
      <c r="K49" s="2"/>
      <c r="L49" s="2"/>
      <c r="M49" s="2"/>
      <c r="N49" s="2"/>
      <c r="O49" s="2"/>
      <c r="P49" s="2"/>
      <c r="Q49" s="2"/>
      <c r="R49" s="4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49" t="s">
        <v>114</v>
      </c>
      <c r="B50" s="1"/>
      <c r="C50" s="1"/>
      <c r="D50" s="1"/>
      <c r="E50" s="44" t="s">
        <v>91</v>
      </c>
      <c r="F50" s="129">
        <v>0.0208</v>
      </c>
      <c r="G50" s="129">
        <v>0.0208</v>
      </c>
      <c r="H50" s="129">
        <v>0.0208</v>
      </c>
      <c r="I50" s="146" t="s">
        <v>102</v>
      </c>
      <c r="J50" s="2"/>
      <c r="K50" s="2"/>
      <c r="L50" s="2"/>
      <c r="M50" s="2"/>
      <c r="N50" s="2"/>
      <c r="O50" s="2"/>
      <c r="P50" s="2"/>
      <c r="Q50" s="2"/>
      <c r="R50" s="4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3.5" thickBot="1">
      <c r="A51" s="51"/>
      <c r="B51" s="51"/>
      <c r="C51" s="5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4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3.5" thickTop="1">
      <c r="A52" s="40" t="s">
        <v>29</v>
      </c>
      <c r="B52" s="40"/>
      <c r="C52" s="40"/>
      <c r="D52" s="200" t="s">
        <v>3</v>
      </c>
      <c r="E52" s="201"/>
      <c r="F52" s="201"/>
      <c r="G52" s="201"/>
      <c r="H52" s="202"/>
      <c r="I52" s="41"/>
      <c r="J52" s="151" t="s">
        <v>31</v>
      </c>
      <c r="K52" s="151"/>
      <c r="L52" s="151"/>
      <c r="M52" s="151"/>
      <c r="N52" s="151"/>
      <c r="O52" s="151"/>
      <c r="P52" s="151"/>
      <c r="Q52" s="15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>
      <c r="A53" s="47"/>
      <c r="B53" s="1"/>
      <c r="C53" s="1"/>
      <c r="D53" s="32"/>
      <c r="E53" s="33" t="str">
        <f>IF(LowerFree&lt;0,"Lower Free Below Zero","N/A")</f>
        <v>N/A</v>
      </c>
      <c r="F53" s="36"/>
      <c r="G53" s="27">
        <f>IF(LowerFree&lt;0,LowerFree,0)</f>
        <v>0</v>
      </c>
      <c r="H53" s="38"/>
      <c r="I53" s="2"/>
      <c r="J53" s="54">
        <f>IF(TlrncCalcs&lt;0,"Total Scheduled Volumes for 5% Tolerance Calculations cannot be negative. ","")</f>
      </c>
      <c r="K53" s="54"/>
      <c r="L53" s="54"/>
      <c r="M53" s="54"/>
      <c r="N53" s="54"/>
      <c r="O53" s="54"/>
      <c r="P53" s="54"/>
      <c r="Q53" s="54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47"/>
      <c r="B54" s="1"/>
      <c r="C54" s="1"/>
      <c r="D54" s="26"/>
      <c r="E54" s="34" t="str">
        <f>IF(AND(LESMS&lt;&gt;0,LowerSMS&lt;0),"Lower SMS Below Zero","N/A")</f>
        <v>N/A</v>
      </c>
      <c r="F54" s="37"/>
      <c r="G54" s="27">
        <f>IF(LESMS=0,0,IF(LowerSMS&lt;0,IF(LowerFree&lt;0,LowerSMS-LowerFree,LowerSMS),0))</f>
        <v>0</v>
      </c>
      <c r="H54" s="39"/>
      <c r="I54" s="2"/>
      <c r="J54" s="54">
        <f>IF(LEPriFirmSchd&lt;0,"Legal Entity's Primary Firm Schd cannot be negative. ","")</f>
      </c>
      <c r="K54" s="54"/>
      <c r="L54" s="54"/>
      <c r="M54" s="54"/>
      <c r="N54" s="54"/>
      <c r="O54" s="54"/>
      <c r="P54" s="54"/>
      <c r="Q54" s="54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>
      <c r="A55" s="47"/>
      <c r="B55" s="1"/>
      <c r="C55" s="1"/>
      <c r="D55" s="26"/>
      <c r="E55" s="34" t="str">
        <f>IF(C15&lt;0,IF(LESMS&gt;0,IF(C15&lt;LowerSMS,IF(OR(CritDay="Y",SOLDay="Y"),"Negative DDVC (Zero Rate) Below Zero",IF(SULDay="Y","Negative DDVC Below Zero (SUL Rate)","Negative DDVC Below Zero")),"N/A"),IF(C15&lt;LowerFree,IF(OR(CritDay="Y",SOLDay="Y"),"Negative DDVC (Zero Rate) Below Zero",IF(SULDay="Y","Negative DDVC Below Zero (SUL Rate)","Negative DDVC Below Zero")),"N/A")),"N/A")</f>
        <v>N/A</v>
      </c>
      <c r="F55" s="37"/>
      <c r="G55" s="27">
        <f>IF(C15&lt;0,IF(LESMS=0,IF(LowerFree&lt;0,C15-LowerFree,C15),IF(LowerSMS&lt;0,C15-LowerSMS,C15)),0)</f>
        <v>0</v>
      </c>
      <c r="H55" s="39"/>
      <c r="I55" s="2"/>
      <c r="J55" s="54">
        <f>IF(LEAltFirmSchd&lt;0,"Legal Entity's Alternate Firm Schd cannot be negative. ","")</f>
      </c>
      <c r="K55" s="54"/>
      <c r="L55" s="54"/>
      <c r="M55" s="54"/>
      <c r="N55" s="54"/>
      <c r="O55" s="54"/>
      <c r="P55" s="54"/>
      <c r="Q55" s="54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>
      <c r="A56" s="47"/>
      <c r="B56" s="1"/>
      <c r="C56" s="1"/>
      <c r="D56" s="26"/>
      <c r="E56" s="34" t="str">
        <f>IF(LESMS=0,IF(LowerFree&lt;=0,"N/A",IF(OR(CritDay="Y",SOLDay="Y"),"Negative DDVC (Zero Rate)","Negative DDVC")),IF(LowerSMS&lt;=0,"N/A",IF(OR(CritDay="Y",SOLDay="Y"),"Negative DDVC (Zero Rate)",IF(SULDay="Y","Negative DDVC (SUL Rate)","Negative DDVC"))))</f>
        <v>N/A</v>
      </c>
      <c r="F56" s="27"/>
      <c r="G56" s="27">
        <f>IF(LESMS=0,IF(LowerFree&lt;=0,0,LowerFree),IF(LowerSMS&lt;=0,0,LowerSMS))</f>
        <v>0</v>
      </c>
      <c r="H56" s="27"/>
      <c r="I56" s="2"/>
      <c r="J56" s="54">
        <f>IF(LEOverrunSchd&lt;0,"Legal Entity's Overrun Schd cannot be negative. ","")</f>
      </c>
      <c r="K56" s="54"/>
      <c r="L56" s="54"/>
      <c r="M56" s="54"/>
      <c r="N56" s="54"/>
      <c r="O56" s="54"/>
      <c r="P56" s="54"/>
      <c r="Q56" s="54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2.75">
      <c r="A57" s="47"/>
      <c r="B57" s="1"/>
      <c r="C57" s="1"/>
      <c r="D57" s="26"/>
      <c r="E57" s="34" t="s">
        <v>4</v>
      </c>
      <c r="F57" s="27"/>
      <c r="G57" s="27">
        <f>IF(LESMS=0,0,IF(LowerFree&lt;0,0,IF(LowerSMS&lt;0,LowerFree,LowerFree-LowerSMS)))</f>
        <v>0</v>
      </c>
      <c r="H57" s="27"/>
      <c r="I57" s="2"/>
      <c r="J57" s="54">
        <f>IF(LEItrblSchd&lt;0,"Legal Entity's Itrbl Schd cannot be negative. ","")</f>
      </c>
      <c r="K57" s="54"/>
      <c r="L57" s="54"/>
      <c r="M57" s="54"/>
      <c r="N57" s="54"/>
      <c r="O57" s="54"/>
      <c r="P57" s="54"/>
      <c r="Q57" s="54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>
      <c r="A58" s="47"/>
      <c r="B58" s="1"/>
      <c r="C58" s="1"/>
      <c r="D58" s="26"/>
      <c r="E58" s="34" t="s">
        <v>6</v>
      </c>
      <c r="F58" s="27"/>
      <c r="G58" s="27">
        <f>IF(LowerFree&lt;0,F30,F30-LowerFree)</f>
        <v>0</v>
      </c>
      <c r="H58" s="27"/>
      <c r="I58" s="2"/>
      <c r="J58" s="54">
        <f>IF(LEMDQ&lt;0,"Legal Entity's MDQ cannot be negative. ","")</f>
      </c>
      <c r="K58" s="54"/>
      <c r="L58" s="54"/>
      <c r="M58" s="54"/>
      <c r="N58" s="54"/>
      <c r="O58" s="54"/>
      <c r="P58" s="54"/>
      <c r="Q58" s="54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2.75">
      <c r="A59" s="47"/>
      <c r="B59" s="1"/>
      <c r="C59" s="1"/>
      <c r="D59" s="26"/>
      <c r="E59" s="34" t="s">
        <v>7</v>
      </c>
      <c r="F59" s="27"/>
      <c r="G59" s="27">
        <f>IF(LESMS=0,0,F29-F30)</f>
        <v>0</v>
      </c>
      <c r="H59" s="27"/>
      <c r="I59" s="2"/>
      <c r="J59" s="54">
        <f>IF(LESMS&lt;0,"Legal Entity's SMS cannot be negative. ","")</f>
      </c>
      <c r="K59" s="54"/>
      <c r="L59" s="54"/>
      <c r="M59" s="54"/>
      <c r="N59" s="54"/>
      <c r="O59" s="54"/>
      <c r="P59" s="54"/>
      <c r="Q59" s="54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2.75">
      <c r="A60" s="52"/>
      <c r="B60" s="1"/>
      <c r="C60" s="1"/>
      <c r="D60" s="26"/>
      <c r="E60" s="34" t="str">
        <f>IF(CritDay="Y",IF(SULDay="Y","Critical Day - Positive DDVC Level I (Zero Rate)","Critical Day - Positive DDVC Level I"),IF(SULDay="Y","Positive DDVC (Zero Rate)","Positive DDVC"))</f>
        <v>Positive DDVC</v>
      </c>
      <c r="F60" s="27"/>
      <c r="G60" s="27">
        <f>IF(CritDay="Y",IF(LESMS=0,F28-F30,F28-F29),IF(LESMS=0,F27-F30,F27-F29))</f>
        <v>0</v>
      </c>
      <c r="H60" s="27"/>
      <c r="I60" s="2"/>
      <c r="J60" s="54">
        <f>IF(AND(CritDay&lt;&gt;"Y",CritDay&lt;&gt;"N"),"Invalid Critical Day Flag. ","")</f>
      </c>
      <c r="K60" s="54"/>
      <c r="L60" s="54"/>
      <c r="M60" s="54"/>
      <c r="N60" s="54"/>
      <c r="O60" s="54"/>
      <c r="P60" s="54"/>
      <c r="Q60" s="54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2.75">
      <c r="A61" s="52"/>
      <c r="B61" s="1"/>
      <c r="C61" s="1"/>
      <c r="D61" s="26"/>
      <c r="E61" s="34" t="str">
        <f>IF(CritDay="Y",IF(SULDay="Y","Critical Day - Positive DDVC Level II (Zero Rate)","Critical Day - Positive DDVC Level II"),IF(SULDay="Y","Punitive DDVC (Zero Rate)","Punitive DDVC"))</f>
        <v>Punitive DDVC</v>
      </c>
      <c r="F61" s="27"/>
      <c r="G61" s="27">
        <f>IF(CritDay="Y",F27-F28,IF(C15&lt;0,10,IF(C15&gt;G56+G57+G58+G59+G60,(C15-(G56+G57+G58+G59+G60))*2,IF((G56+G57+G58+G59+G60)*0.1&lt;1000,1000,(G56+G57+G58+G59+G60)*0.1))))</f>
        <v>1000</v>
      </c>
      <c r="H61" s="27"/>
      <c r="I61" s="2"/>
      <c r="J61" s="54">
        <f>IF(AND(SOLDay&lt;&gt;"Y",SOLDay&lt;&gt;"N"),"Invalid SOL Day Flag. ","")</f>
      </c>
      <c r="K61" s="54"/>
      <c r="L61" s="54"/>
      <c r="M61" s="54"/>
      <c r="N61" s="54"/>
      <c r="O61" s="54"/>
      <c r="P61" s="54"/>
      <c r="Q61" s="5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2.75">
      <c r="A62" s="47"/>
      <c r="B62" s="1"/>
      <c r="C62" s="1"/>
      <c r="D62" s="26"/>
      <c r="E62" s="34" t="str">
        <f>IF(CritDay="Y",IF(SULDay="Y","Critical Day - Punitive DDVC Level I (Zero Rate)","Critical Day - Punitive DDVC Level I"),"N/A")</f>
        <v>N/A</v>
      </c>
      <c r="F62" s="27"/>
      <c r="G62" s="27">
        <f>IF(CritDay="Y",IF(AND(SmallCustPoint="Y",ResSmallCust="Y"),MIN(LEMDQ,650),IF(SmallCustPoint="Y",IF(G8="None",650,IF(G8&lt;650,650,G8)),IF(G8="None",0,G8))),0)</f>
        <v>0</v>
      </c>
      <c r="H62" s="27"/>
      <c r="I62" s="2"/>
      <c r="J62" s="54">
        <f>IF(AND(SmallCustPoint&lt;&gt;"Y",SmallCustPoint&lt;&gt;"N"),"Invalid Small Customer Point Flag. ","")</f>
      </c>
      <c r="K62" s="54"/>
      <c r="L62" s="54"/>
      <c r="M62" s="54"/>
      <c r="N62" s="54"/>
      <c r="O62" s="54"/>
      <c r="P62" s="54"/>
      <c r="Q62" s="54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>
      <c r="A63" s="52"/>
      <c r="B63" s="1"/>
      <c r="C63" s="1"/>
      <c r="D63" s="26"/>
      <c r="E63" s="34" t="str">
        <f>IF(CritDay="Y",IF(SULDay="Y","Critical Day - Punitive DDVC Level II (Zero Rate)","Critical Day - Punitive DDVC Level II"),"N/A")</f>
        <v>N/A</v>
      </c>
      <c r="F63" s="27"/>
      <c r="G63" s="27">
        <f>IF(CritDay="Y",IF(C15&lt;0,10,IF(C15&gt;G56+G57+G58+G59+G60+G61+G62,(C15-(G56+G57+G58+G59+G60+G61+G62))*2,IF((G56+G57+G58+G59+G60+G61+G62)*0.1&lt;1000,1000,(G56+G57+G58+G59+G60+G61+G62)*0.1))),0)</f>
        <v>0</v>
      </c>
      <c r="H63" s="27"/>
      <c r="I63" s="2"/>
      <c r="J63" s="54">
        <f>IF(AND(ResSmallCust&lt;&gt;"Y",ResSmallCust&lt;&gt;"N"),"Invalid Restricted Small Customer Flag. ","")</f>
      </c>
      <c r="K63" s="54"/>
      <c r="L63" s="54"/>
      <c r="M63" s="54"/>
      <c r="N63" s="54"/>
      <c r="O63" s="54"/>
      <c r="P63" s="54"/>
      <c r="Q63" s="54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>
      <c r="A64" s="47"/>
      <c r="B64" s="1"/>
      <c r="C64" s="1"/>
      <c r="D64" s="26"/>
      <c r="E64" s="34" t="s">
        <v>10</v>
      </c>
      <c r="F64" s="27">
        <f>C15</f>
        <v>0</v>
      </c>
      <c r="G64" s="27">
        <f>C15</f>
        <v>0</v>
      </c>
      <c r="H64" s="27">
        <f>C15</f>
        <v>0</v>
      </c>
      <c r="I64" s="2"/>
      <c r="J64" s="54">
        <f>IF(AND(SULDay&lt;&gt;"Y",SULDay&lt;&gt;"N"),"Invalid SUL Day Flag. ","")</f>
      </c>
      <c r="K64" s="54"/>
      <c r="L64" s="54"/>
      <c r="M64" s="54"/>
      <c r="N64" s="54"/>
      <c r="O64" s="54"/>
      <c r="P64" s="54"/>
      <c r="Q64" s="54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29" ht="15" customHeight="1">
      <c r="A65" s="47"/>
      <c r="B65" s="1"/>
      <c r="C65" s="1"/>
      <c r="D65" s="26"/>
      <c r="E65" s="34" t="s">
        <v>12</v>
      </c>
      <c r="F65" s="27">
        <f>LETtlSchdVol</f>
        <v>0</v>
      </c>
      <c r="G65" s="27">
        <f>LETtlSchdVol</f>
        <v>0</v>
      </c>
      <c r="H65" s="27">
        <f>LETtlSchdVol</f>
        <v>0</v>
      </c>
      <c r="I65" s="2"/>
      <c r="J65" s="54">
        <f>IF(OR(SMSPrcnt&lt;0,SMSPrcnt&gt;1),"Invalid SMS Percent entered. ","")</f>
      </c>
      <c r="K65" s="54"/>
      <c r="L65" s="54"/>
      <c r="M65" s="54"/>
      <c r="N65" s="54"/>
      <c r="O65" s="54"/>
      <c r="P65" s="54"/>
      <c r="Q65" s="54"/>
      <c r="R65" s="2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</row>
    <row r="66" spans="1:29" ht="12.75">
      <c r="A66" s="47"/>
      <c r="B66" s="1"/>
      <c r="C66" s="1"/>
      <c r="D66" s="28"/>
      <c r="E66" s="35" t="s">
        <v>13</v>
      </c>
      <c r="F66" s="29">
        <f>FE</f>
        <v>0</v>
      </c>
      <c r="G66" s="29">
        <f>FE</f>
        <v>0</v>
      </c>
      <c r="H66" s="29">
        <f>FE</f>
        <v>0</v>
      </c>
      <c r="I66" s="2"/>
      <c r="J66" s="54">
        <f>IF(AND(ResSmallCust="Y",SmallCustPoint="N"),"You must mark the shipper as a small customer also. ","")</f>
      </c>
      <c r="K66" s="54"/>
      <c r="L66" s="54"/>
      <c r="M66" s="54"/>
      <c r="N66" s="54"/>
      <c r="O66" s="54"/>
      <c r="P66" s="54"/>
      <c r="Q66" s="54"/>
      <c r="R66" s="2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</row>
    <row r="67" spans="1:29" ht="12.75">
      <c r="A67" s="47"/>
      <c r="B67" s="47"/>
      <c r="C67" s="47"/>
      <c r="D67" s="47"/>
      <c r="E67" s="47"/>
      <c r="F67" s="47"/>
      <c r="G67" s="47"/>
      <c r="H67" s="3"/>
      <c r="I67" s="3"/>
      <c r="J67" s="57">
        <f>IF(LEPriFirmSchd&gt;LEMDQ,"The amount of Primary Firm Schd cannot exceed the MDQ. ","")</f>
      </c>
      <c r="K67" s="57"/>
      <c r="L67" s="57"/>
      <c r="M67" s="57"/>
      <c r="N67" s="57"/>
      <c r="O67" s="57"/>
      <c r="P67" s="57"/>
      <c r="Q67" s="57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</row>
    <row r="68" spans="1:29" ht="12.75">
      <c r="A68" s="47"/>
      <c r="B68" s="47"/>
      <c r="C68" s="47"/>
      <c r="D68" s="47"/>
      <c r="E68" s="47"/>
      <c r="F68" s="47"/>
      <c r="G68" s="47"/>
      <c r="H68" s="3"/>
      <c r="I68" s="3"/>
      <c r="J68" s="57">
        <f>IF(ISNUMBER(TlrncCalcs),"","Total Scheduled Volumes for 5% Tolerance Calculations must be a number. ")</f>
      </c>
      <c r="K68" s="57"/>
      <c r="L68" s="57"/>
      <c r="M68" s="57"/>
      <c r="N68" s="57"/>
      <c r="O68" s="57"/>
      <c r="P68" s="57"/>
      <c r="Q68" s="57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</row>
    <row r="69" spans="1:29" ht="12.75">
      <c r="A69" s="47"/>
      <c r="B69" s="47"/>
      <c r="C69" s="47"/>
      <c r="D69" s="47"/>
      <c r="E69" s="47"/>
      <c r="F69" s="47"/>
      <c r="G69" s="47"/>
      <c r="H69" s="3"/>
      <c r="I69" s="3"/>
      <c r="J69" s="57">
        <f>IF(ISNUMBER(LEPriFirmSchd),"","Legal Entity's Primary Firm Schd must be a number. ")</f>
      </c>
      <c r="K69" s="57"/>
      <c r="L69" s="57"/>
      <c r="M69" s="57"/>
      <c r="N69" s="57"/>
      <c r="O69" s="57"/>
      <c r="P69" s="57"/>
      <c r="Q69" s="57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</row>
    <row r="70" spans="1:29" ht="12.75">
      <c r="A70" s="47"/>
      <c r="B70" s="47"/>
      <c r="C70" s="47"/>
      <c r="D70" s="47"/>
      <c r="E70" s="47"/>
      <c r="F70" s="47"/>
      <c r="G70" s="47"/>
      <c r="H70" s="3"/>
      <c r="I70" s="3"/>
      <c r="J70" s="57">
        <f>IF(ISNUMBER(LEAltFirmSchd),"","Legal Entity's Alternate Firm Schd must be a number. ")</f>
      </c>
      <c r="K70" s="57"/>
      <c r="L70" s="57"/>
      <c r="M70" s="57"/>
      <c r="N70" s="57"/>
      <c r="O70" s="57"/>
      <c r="P70" s="57"/>
      <c r="Q70" s="57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</row>
    <row r="71" spans="1:29" ht="12.75">
      <c r="A71" s="47"/>
      <c r="B71" s="47"/>
      <c r="C71" s="47"/>
      <c r="D71" s="47"/>
      <c r="E71" s="47"/>
      <c r="F71" s="47"/>
      <c r="G71" s="47"/>
      <c r="H71" s="3"/>
      <c r="I71" s="3"/>
      <c r="J71" s="57">
        <f>IF(ISNUMBER(LEOverrunSchd),"","Legal Entity's Overrun Schd must be a number. ")</f>
      </c>
      <c r="K71" s="57"/>
      <c r="L71" s="57"/>
      <c r="M71" s="57"/>
      <c r="N71" s="57"/>
      <c r="O71" s="57"/>
      <c r="P71" s="57"/>
      <c r="Q71" s="57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</row>
    <row r="72" spans="1:29" ht="12.75">
      <c r="A72" s="47"/>
      <c r="B72" s="47"/>
      <c r="C72" s="47"/>
      <c r="D72" s="47"/>
      <c r="E72" s="47"/>
      <c r="F72" s="47"/>
      <c r="G72" s="47"/>
      <c r="H72" s="3"/>
      <c r="I72" s="3"/>
      <c r="J72" s="57">
        <f>IF(ISNUMBER(LEItrblSchd),"","Legal Entity's Itrbl Schd must be a number. ")</f>
      </c>
      <c r="K72" s="57"/>
      <c r="L72" s="57"/>
      <c r="M72" s="57"/>
      <c r="N72" s="57"/>
      <c r="O72" s="57"/>
      <c r="P72" s="57"/>
      <c r="Q72" s="57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</row>
    <row r="73" spans="1:29" ht="12.75">
      <c r="A73" s="47"/>
      <c r="B73" s="47"/>
      <c r="C73" s="47"/>
      <c r="D73" s="47"/>
      <c r="E73" s="47"/>
      <c r="F73" s="47"/>
      <c r="G73" s="47"/>
      <c r="H73" s="3"/>
      <c r="I73" s="3"/>
      <c r="J73" s="57">
        <f>IF(ISNUMBER(LEMDQ),"","Legal Entity's MDQ must be a number. ")</f>
      </c>
      <c r="K73" s="57"/>
      <c r="L73" s="57"/>
      <c r="M73" s="57"/>
      <c r="N73" s="57"/>
      <c r="O73" s="57"/>
      <c r="P73" s="57"/>
      <c r="Q73" s="57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</row>
    <row r="74" spans="1:29" ht="12.75">
      <c r="A74" s="47"/>
      <c r="B74" s="47"/>
      <c r="C74" s="47"/>
      <c r="D74" s="47"/>
      <c r="E74" s="47"/>
      <c r="F74" s="47"/>
      <c r="G74" s="47"/>
      <c r="H74" s="3"/>
      <c r="I74" s="3"/>
      <c r="J74" s="57">
        <f>IF(ISNUMBER(LESMS),"","Legal Entity's SMS must be a number. ")</f>
      </c>
      <c r="K74" s="57"/>
      <c r="L74" s="57"/>
      <c r="M74" s="57"/>
      <c r="N74" s="57"/>
      <c r="O74" s="57"/>
      <c r="P74" s="57"/>
      <c r="Q74" s="57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</row>
    <row r="75" spans="1:29" ht="12.75">
      <c r="A75" s="47"/>
      <c r="B75" s="47"/>
      <c r="C75" s="47"/>
      <c r="D75" s="47"/>
      <c r="E75" s="47"/>
      <c r="F75" s="47"/>
      <c r="G75" s="47"/>
      <c r="H75" s="3"/>
      <c r="I75" s="3"/>
      <c r="J75" s="57">
        <f>IF(ISNUMBER(C15),"","Allocated Volume must be a number. ")</f>
      </c>
      <c r="K75" s="57"/>
      <c r="L75" s="57"/>
      <c r="M75" s="57"/>
      <c r="N75" s="57"/>
      <c r="O75" s="57"/>
      <c r="P75" s="57"/>
      <c r="Q75" s="57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</row>
    <row r="76" spans="1:29" ht="12.75">
      <c r="A76" s="47"/>
      <c r="B76" s="47"/>
      <c r="C76" s="47"/>
      <c r="D76" s="47"/>
      <c r="E76" s="47"/>
      <c r="F76" s="47"/>
      <c r="G76" s="47"/>
      <c r="H76" s="3"/>
      <c r="I76" s="3"/>
      <c r="J76" s="57">
        <f>IF(ISNUMBER(SMSPrcnt),"","SMS Percent must be a number. ")</f>
      </c>
      <c r="K76" s="57"/>
      <c r="L76" s="57"/>
      <c r="M76" s="57"/>
      <c r="N76" s="57"/>
      <c r="O76" s="57"/>
      <c r="P76" s="57"/>
      <c r="Q76" s="57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</row>
    <row r="77" spans="1:29" ht="12.75">
      <c r="A77" s="47"/>
      <c r="B77" s="47"/>
      <c r="C77" s="47"/>
      <c r="D77" s="47"/>
      <c r="E77" s="47"/>
      <c r="F77" s="47"/>
      <c r="G77" s="47"/>
      <c r="H77" s="3"/>
      <c r="I77" s="3"/>
      <c r="J77" s="54">
        <f>IF(AND(Season&lt;&gt;"S",Season&lt;&gt;"O",Season&lt;&gt;"W"),"Invalid Season Flag. ","")</f>
      </c>
      <c r="K77" s="57"/>
      <c r="L77" s="57"/>
      <c r="M77" s="57"/>
      <c r="N77" s="57"/>
      <c r="O77" s="57"/>
      <c r="P77" s="57"/>
      <c r="Q77" s="57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12.75">
      <c r="A78" s="47"/>
      <c r="B78" s="47"/>
      <c r="C78" s="47"/>
      <c r="D78" s="47"/>
      <c r="E78" s="47"/>
      <c r="F78" s="47"/>
      <c r="G78" s="47"/>
      <c r="H78" s="3"/>
      <c r="I78" s="3"/>
      <c r="J78" s="57">
        <f>IF(ISNUMBER(IndexRate),"","Index Rate must be a number. ")</f>
      </c>
      <c r="K78" s="57"/>
      <c r="L78" s="57"/>
      <c r="M78" s="57"/>
      <c r="N78" s="57"/>
      <c r="O78" s="57"/>
      <c r="P78" s="57"/>
      <c r="Q78" s="57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12.75">
      <c r="A79" s="47"/>
      <c r="B79" s="47"/>
      <c r="C79" s="47"/>
      <c r="D79" s="47"/>
      <c r="E79" s="47"/>
      <c r="F79" s="47"/>
      <c r="G79" s="47"/>
      <c r="H79" s="3"/>
      <c r="I79" s="3"/>
      <c r="J79" s="57">
        <f>IF(IndexRate&lt;0,"Index Rate cannot be negative. ","")</f>
      </c>
      <c r="K79" s="57"/>
      <c r="L79" s="57"/>
      <c r="M79" s="57"/>
      <c r="N79" s="57"/>
      <c r="O79" s="57"/>
      <c r="P79" s="57"/>
      <c r="Q79" s="57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12.75">
      <c r="A80" s="47"/>
      <c r="B80" s="47"/>
      <c r="C80" s="47"/>
      <c r="D80" s="47"/>
      <c r="E80" s="47"/>
      <c r="F80" s="47"/>
      <c r="G80" s="47"/>
      <c r="H80" s="3"/>
      <c r="I80" s="3"/>
      <c r="J80" s="57"/>
      <c r="K80" s="57"/>
      <c r="L80" s="57"/>
      <c r="M80" s="57"/>
      <c r="N80" s="57"/>
      <c r="O80" s="57"/>
      <c r="P80" s="57"/>
      <c r="Q80" s="57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12.75">
      <c r="A81" s="47"/>
      <c r="B81" s="47"/>
      <c r="C81" s="47"/>
      <c r="D81" s="47"/>
      <c r="E81" s="47"/>
      <c r="F81" s="47"/>
      <c r="G81" s="47"/>
      <c r="H81" s="3"/>
      <c r="I81" s="3"/>
      <c r="J81" s="57"/>
      <c r="K81" s="57"/>
      <c r="L81" s="57"/>
      <c r="M81" s="57"/>
      <c r="N81" s="57"/>
      <c r="O81" s="57"/>
      <c r="P81" s="57"/>
      <c r="Q81" s="57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12.75">
      <c r="A82" s="47"/>
      <c r="B82" s="47"/>
      <c r="C82" s="47"/>
      <c r="D82" s="47"/>
      <c r="E82" s="47"/>
      <c r="F82" s="47"/>
      <c r="G82" s="47"/>
      <c r="H82" s="3"/>
      <c r="I82" s="3"/>
      <c r="J82" s="57"/>
      <c r="K82" s="57"/>
      <c r="L82" s="57"/>
      <c r="M82" s="57"/>
      <c r="N82" s="57"/>
      <c r="O82" s="57"/>
      <c r="P82" s="57"/>
      <c r="Q82" s="57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2.75">
      <c r="A83" s="47"/>
      <c r="B83" s="47"/>
      <c r="C83" s="47"/>
      <c r="D83" s="47"/>
      <c r="E83" s="47"/>
      <c r="F83" s="47"/>
      <c r="G83" s="47"/>
      <c r="H83" s="3"/>
      <c r="I83" s="3"/>
      <c r="J83" s="57"/>
      <c r="K83" s="57"/>
      <c r="L83" s="57"/>
      <c r="M83" s="57"/>
      <c r="N83" s="57"/>
      <c r="O83" s="57"/>
      <c r="P83" s="57"/>
      <c r="Q83" s="57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12.75">
      <c r="A84" s="47"/>
      <c r="B84" s="47"/>
      <c r="C84" s="47"/>
      <c r="D84" s="47"/>
      <c r="E84" s="47"/>
      <c r="F84" s="47"/>
      <c r="G84" s="47"/>
      <c r="H84" s="3"/>
      <c r="I84" s="3"/>
      <c r="J84" s="57"/>
      <c r="K84" s="57"/>
      <c r="L84" s="57"/>
      <c r="M84" s="57"/>
      <c r="N84" s="57"/>
      <c r="O84" s="57"/>
      <c r="P84" s="57"/>
      <c r="Q84" s="57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12.75">
      <c r="A85" s="47"/>
      <c r="B85" s="47"/>
      <c r="C85" s="47"/>
      <c r="D85" s="47"/>
      <c r="E85" s="47"/>
      <c r="F85" s="47"/>
      <c r="G85" s="47"/>
      <c r="H85" s="3"/>
      <c r="I85" s="3"/>
      <c r="J85" s="57"/>
      <c r="K85" s="57"/>
      <c r="L85" s="57"/>
      <c r="M85" s="57"/>
      <c r="N85" s="57"/>
      <c r="O85" s="57"/>
      <c r="P85" s="57"/>
      <c r="Q85" s="57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12.75">
      <c r="A86" s="47"/>
      <c r="B86" s="47"/>
      <c r="C86" s="47"/>
      <c r="D86" s="47"/>
      <c r="E86" s="47"/>
      <c r="F86" s="47"/>
      <c r="G86" s="47"/>
      <c r="H86" s="3"/>
      <c r="I86" s="3"/>
      <c r="J86" s="57"/>
      <c r="K86" s="57"/>
      <c r="L86" s="57"/>
      <c r="M86" s="57"/>
      <c r="N86" s="57"/>
      <c r="O86" s="57"/>
      <c r="P86" s="57"/>
      <c r="Q86" s="57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12.75">
      <c r="A87" s="47"/>
      <c r="B87" s="47"/>
      <c r="C87" s="47"/>
      <c r="D87" s="47"/>
      <c r="E87" s="47"/>
      <c r="F87" s="47"/>
      <c r="G87" s="47"/>
      <c r="H87" s="3"/>
      <c r="I87" s="3"/>
      <c r="J87" s="57"/>
      <c r="K87" s="57"/>
      <c r="L87" s="57"/>
      <c r="M87" s="57"/>
      <c r="N87" s="57"/>
      <c r="O87" s="57"/>
      <c r="P87" s="57"/>
      <c r="Q87" s="57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29" ht="12.75">
      <c r="A88" s="47"/>
      <c r="B88" s="47"/>
      <c r="C88" s="47"/>
      <c r="D88" s="47"/>
      <c r="E88" s="47"/>
      <c r="F88" s="47"/>
      <c r="G88" s="47"/>
      <c r="H88" s="3"/>
      <c r="I88" s="3"/>
      <c r="J88" s="57"/>
      <c r="K88" s="57"/>
      <c r="L88" s="57"/>
      <c r="M88" s="57"/>
      <c r="N88" s="57"/>
      <c r="O88" s="57"/>
      <c r="P88" s="57"/>
      <c r="Q88" s="57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</row>
    <row r="89" spans="1:29" ht="12.75">
      <c r="A89" s="47"/>
      <c r="B89" s="47"/>
      <c r="C89" s="47"/>
      <c r="D89" s="47"/>
      <c r="E89" s="47"/>
      <c r="F89" s="47"/>
      <c r="G89" s="47"/>
      <c r="H89" s="3"/>
      <c r="I89" s="3"/>
      <c r="J89" s="57"/>
      <c r="K89" s="57"/>
      <c r="L89" s="57"/>
      <c r="M89" s="57"/>
      <c r="N89" s="57"/>
      <c r="O89" s="57"/>
      <c r="P89" s="57"/>
      <c r="Q89" s="57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</row>
    <row r="90" spans="1:29" ht="12.75">
      <c r="A90" s="47"/>
      <c r="B90" s="47"/>
      <c r="C90" s="47"/>
      <c r="D90" s="47"/>
      <c r="E90" s="47"/>
      <c r="F90" s="47"/>
      <c r="G90" s="47"/>
      <c r="H90" s="3"/>
      <c r="I90" s="3"/>
      <c r="J90" s="55"/>
      <c r="K90" s="55"/>
      <c r="L90" s="55"/>
      <c r="M90" s="55"/>
      <c r="N90" s="55"/>
      <c r="O90" s="55"/>
      <c r="P90" s="55"/>
      <c r="Q90" s="55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</row>
    <row r="91" spans="1:29" ht="12.75">
      <c r="A91" s="47"/>
      <c r="B91" s="47"/>
      <c r="C91" s="47"/>
      <c r="D91" s="47"/>
      <c r="E91" s="47"/>
      <c r="F91" s="47"/>
      <c r="G91" s="47"/>
      <c r="H91" s="3"/>
      <c r="I91" s="3"/>
      <c r="J91" s="55"/>
      <c r="K91" s="55"/>
      <c r="L91" s="55"/>
      <c r="M91" s="55"/>
      <c r="N91" s="55"/>
      <c r="O91" s="55"/>
      <c r="P91" s="55"/>
      <c r="Q91" s="55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</row>
    <row r="92" spans="1:29" ht="12.75">
      <c r="A92" s="47"/>
      <c r="B92" s="47"/>
      <c r="C92" s="47"/>
      <c r="D92" s="47"/>
      <c r="E92" s="47"/>
      <c r="F92" s="47"/>
      <c r="G92" s="47"/>
      <c r="H92" s="3"/>
      <c r="I92" s="3"/>
      <c r="J92" s="55"/>
      <c r="K92" s="55"/>
      <c r="L92" s="55"/>
      <c r="M92" s="55"/>
      <c r="N92" s="55"/>
      <c r="O92" s="55"/>
      <c r="P92" s="55"/>
      <c r="Q92" s="55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</row>
    <row r="93" spans="1:29" ht="12.75">
      <c r="A93" s="47"/>
      <c r="B93" s="47"/>
      <c r="C93" s="47"/>
      <c r="D93" s="47"/>
      <c r="E93" s="47"/>
      <c r="F93" s="47"/>
      <c r="G93" s="47"/>
      <c r="H93" s="3"/>
      <c r="I93" s="3"/>
      <c r="J93" s="55"/>
      <c r="K93" s="55"/>
      <c r="L93" s="55"/>
      <c r="M93" s="55"/>
      <c r="N93" s="55"/>
      <c r="O93" s="55"/>
      <c r="P93" s="55"/>
      <c r="Q93" s="55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</row>
    <row r="94" spans="1:29" ht="12.75">
      <c r="A94" s="47"/>
      <c r="B94" s="47"/>
      <c r="C94" s="47"/>
      <c r="D94" s="47"/>
      <c r="E94" s="47"/>
      <c r="F94" s="47"/>
      <c r="G94" s="47"/>
      <c r="H94" s="3"/>
      <c r="I94" s="3"/>
      <c r="J94" s="55"/>
      <c r="K94" s="55"/>
      <c r="L94" s="55"/>
      <c r="M94" s="55"/>
      <c r="N94" s="55"/>
      <c r="O94" s="55"/>
      <c r="P94" s="55"/>
      <c r="Q94" s="55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</row>
    <row r="95" spans="1:29" ht="12.75">
      <c r="A95" s="47"/>
      <c r="B95" s="47"/>
      <c r="C95" s="47"/>
      <c r="D95" s="47"/>
      <c r="E95" s="47"/>
      <c r="F95" s="47"/>
      <c r="G95" s="47"/>
      <c r="H95" s="3"/>
      <c r="I95" s="3"/>
      <c r="J95" s="55"/>
      <c r="K95" s="55"/>
      <c r="L95" s="55"/>
      <c r="M95" s="55"/>
      <c r="N95" s="55"/>
      <c r="O95" s="55"/>
      <c r="P95" s="55"/>
      <c r="Q95" s="55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</row>
    <row r="96" spans="1:29" ht="12.75">
      <c r="A96" s="47"/>
      <c r="B96" s="47"/>
      <c r="C96" s="47"/>
      <c r="D96" s="47"/>
      <c r="E96" s="47"/>
      <c r="F96" s="47"/>
      <c r="G96" s="47"/>
      <c r="H96" s="3"/>
      <c r="I96" s="3"/>
      <c r="J96" s="55"/>
      <c r="K96" s="55"/>
      <c r="L96" s="55"/>
      <c r="M96" s="55"/>
      <c r="N96" s="55"/>
      <c r="O96" s="55"/>
      <c r="P96" s="55"/>
      <c r="Q96" s="55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</row>
    <row r="97" spans="1:29" ht="12.75">
      <c r="A97" s="47"/>
      <c r="B97" s="47"/>
      <c r="C97" s="47"/>
      <c r="D97" s="47"/>
      <c r="E97" s="47"/>
      <c r="F97" s="47"/>
      <c r="G97" s="47"/>
      <c r="H97" s="3"/>
      <c r="I97" s="3"/>
      <c r="J97" s="55"/>
      <c r="K97" s="55"/>
      <c r="L97" s="55"/>
      <c r="M97" s="55"/>
      <c r="N97" s="55"/>
      <c r="O97" s="55"/>
      <c r="P97" s="55"/>
      <c r="Q97" s="55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</row>
    <row r="98" spans="1:29" ht="12.75">
      <c r="A98" s="47"/>
      <c r="B98" s="47"/>
      <c r="C98" s="47"/>
      <c r="D98" s="47"/>
      <c r="E98" s="47"/>
      <c r="F98" s="47"/>
      <c r="G98" s="47"/>
      <c r="H98" s="3"/>
      <c r="I98" s="3"/>
      <c r="J98" s="55"/>
      <c r="K98" s="55"/>
      <c r="L98" s="55"/>
      <c r="M98" s="55"/>
      <c r="N98" s="55"/>
      <c r="O98" s="55"/>
      <c r="P98" s="55"/>
      <c r="Q98" s="55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</row>
    <row r="99" spans="1:29" ht="12.75">
      <c r="A99" s="47"/>
      <c r="B99" s="47"/>
      <c r="C99" s="47"/>
      <c r="D99" s="47"/>
      <c r="E99" s="47"/>
      <c r="F99" s="47"/>
      <c r="G99" s="47"/>
      <c r="H99" s="3"/>
      <c r="I99" s="3"/>
      <c r="J99" s="55"/>
      <c r="K99" s="55"/>
      <c r="L99" s="55"/>
      <c r="M99" s="55"/>
      <c r="N99" s="55"/>
      <c r="O99" s="55"/>
      <c r="P99" s="55"/>
      <c r="Q99" s="55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</row>
    <row r="100" spans="1:29" ht="12.75">
      <c r="A100" s="47"/>
      <c r="B100" s="47"/>
      <c r="C100" s="47"/>
      <c r="D100" s="47"/>
      <c r="E100" s="47"/>
      <c r="F100" s="47"/>
      <c r="G100" s="47"/>
      <c r="H100" s="3"/>
      <c r="I100" s="3"/>
      <c r="J100" s="55"/>
      <c r="K100" s="55"/>
      <c r="L100" s="55"/>
      <c r="M100" s="55"/>
      <c r="N100" s="55"/>
      <c r="O100" s="55"/>
      <c r="P100" s="55"/>
      <c r="Q100" s="55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</row>
    <row r="101" spans="1:29" ht="12.75">
      <c r="A101" s="47"/>
      <c r="B101" s="47"/>
      <c r="C101" s="47"/>
      <c r="D101" s="47"/>
      <c r="E101" s="47"/>
      <c r="F101" s="47"/>
      <c r="G101" s="47"/>
      <c r="H101" s="3"/>
      <c r="I101" s="3"/>
      <c r="J101" s="55"/>
      <c r="K101" s="55"/>
      <c r="L101" s="55"/>
      <c r="M101" s="55"/>
      <c r="N101" s="55"/>
      <c r="O101" s="55"/>
      <c r="P101" s="55"/>
      <c r="Q101" s="55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</row>
    <row r="102" spans="1:29" ht="12.75">
      <c r="A102" s="47"/>
      <c r="B102" s="47"/>
      <c r="C102" s="47"/>
      <c r="D102" s="47"/>
      <c r="E102" s="47"/>
      <c r="F102" s="47"/>
      <c r="G102" s="47"/>
      <c r="H102" s="3"/>
      <c r="I102" s="3"/>
      <c r="J102" s="55"/>
      <c r="K102" s="55"/>
      <c r="L102" s="55"/>
      <c r="M102" s="55"/>
      <c r="N102" s="55"/>
      <c r="O102" s="55"/>
      <c r="P102" s="55"/>
      <c r="Q102" s="55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</row>
    <row r="103" spans="1:29" ht="12.75">
      <c r="A103" s="47"/>
      <c r="B103" s="47"/>
      <c r="C103" s="47"/>
      <c r="D103" s="47"/>
      <c r="E103" s="47"/>
      <c r="F103" s="47"/>
      <c r="G103" s="47"/>
      <c r="H103" s="3"/>
      <c r="I103" s="3"/>
      <c r="J103" s="55"/>
      <c r="K103" s="55"/>
      <c r="L103" s="55"/>
      <c r="M103" s="55"/>
      <c r="N103" s="55"/>
      <c r="O103" s="55"/>
      <c r="P103" s="55"/>
      <c r="Q103" s="55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</row>
    <row r="104" spans="1:29" ht="12.75">
      <c r="A104" s="47"/>
      <c r="B104" s="47"/>
      <c r="C104" s="47"/>
      <c r="D104" s="47"/>
      <c r="E104" s="47"/>
      <c r="F104" s="47"/>
      <c r="G104" s="47"/>
      <c r="H104" s="3"/>
      <c r="I104" s="3"/>
      <c r="J104" s="55"/>
      <c r="K104" s="55"/>
      <c r="L104" s="55"/>
      <c r="M104" s="55"/>
      <c r="N104" s="55"/>
      <c r="O104" s="55"/>
      <c r="P104" s="55"/>
      <c r="Q104" s="55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</row>
    <row r="105" spans="1:29" ht="12.75">
      <c r="A105" s="47"/>
      <c r="B105" s="47"/>
      <c r="C105" s="47"/>
      <c r="D105" s="47"/>
      <c r="E105" s="47"/>
      <c r="F105" s="47"/>
      <c r="G105" s="47"/>
      <c r="H105" s="3"/>
      <c r="I105" s="3"/>
      <c r="J105" s="55"/>
      <c r="K105" s="55"/>
      <c r="L105" s="55"/>
      <c r="M105" s="55"/>
      <c r="N105" s="55"/>
      <c r="O105" s="55"/>
      <c r="P105" s="55"/>
      <c r="Q105" s="55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</row>
    <row r="106" spans="1:29" ht="12.75">
      <c r="A106" s="47"/>
      <c r="B106" s="47"/>
      <c r="C106" s="47"/>
      <c r="D106" s="47"/>
      <c r="E106" s="47"/>
      <c r="F106" s="47"/>
      <c r="G106" s="47"/>
      <c r="H106" s="3"/>
      <c r="I106" s="3"/>
      <c r="J106" s="55"/>
      <c r="K106" s="55"/>
      <c r="L106" s="55"/>
      <c r="M106" s="55"/>
      <c r="N106" s="55"/>
      <c r="O106" s="55"/>
      <c r="P106" s="55"/>
      <c r="Q106" s="55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</row>
    <row r="107" spans="1:29" ht="12.75">
      <c r="A107" s="47"/>
      <c r="B107" s="47"/>
      <c r="C107" s="47"/>
      <c r="D107" s="47"/>
      <c r="E107" s="47"/>
      <c r="F107" s="47"/>
      <c r="G107" s="47"/>
      <c r="H107" s="3"/>
      <c r="I107" s="3"/>
      <c r="J107" s="55"/>
      <c r="K107" s="55"/>
      <c r="L107" s="55"/>
      <c r="M107" s="55"/>
      <c r="N107" s="55"/>
      <c r="O107" s="55"/>
      <c r="P107" s="55"/>
      <c r="Q107" s="55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</row>
    <row r="108" spans="1:29" ht="12.75">
      <c r="A108" s="47"/>
      <c r="B108" s="47"/>
      <c r="C108" s="47"/>
      <c r="D108" s="47"/>
      <c r="E108" s="47"/>
      <c r="F108" s="47"/>
      <c r="G108" s="47"/>
      <c r="H108" s="3"/>
      <c r="I108" s="3"/>
      <c r="J108" s="55"/>
      <c r="K108" s="55"/>
      <c r="L108" s="55"/>
      <c r="M108" s="55"/>
      <c r="N108" s="55"/>
      <c r="O108" s="55"/>
      <c r="P108" s="55"/>
      <c r="Q108" s="55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</row>
    <row r="109" spans="1:29" ht="12.75">
      <c r="A109" s="47"/>
      <c r="B109" s="47"/>
      <c r="C109" s="47"/>
      <c r="D109" s="47"/>
      <c r="E109" s="47"/>
      <c r="F109" s="47"/>
      <c r="G109" s="47"/>
      <c r="H109" s="3"/>
      <c r="I109" s="3"/>
      <c r="J109" s="55"/>
      <c r="K109" s="55"/>
      <c r="L109" s="55"/>
      <c r="M109" s="55"/>
      <c r="N109" s="55"/>
      <c r="O109" s="55"/>
      <c r="P109" s="55"/>
      <c r="Q109" s="55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</row>
    <row r="110" spans="1:29" ht="12.75">
      <c r="A110" s="47"/>
      <c r="B110" s="47"/>
      <c r="C110" s="47"/>
      <c r="D110" s="47"/>
      <c r="E110" s="47"/>
      <c r="F110" s="47"/>
      <c r="G110" s="47"/>
      <c r="H110" s="3"/>
      <c r="I110" s="3"/>
      <c r="J110" s="55"/>
      <c r="K110" s="55"/>
      <c r="L110" s="55"/>
      <c r="M110" s="55"/>
      <c r="N110" s="55"/>
      <c r="O110" s="55"/>
      <c r="P110" s="55"/>
      <c r="Q110" s="55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</row>
    <row r="111" spans="1:29" ht="12.75">
      <c r="A111" s="47"/>
      <c r="B111" s="47"/>
      <c r="C111" s="47"/>
      <c r="D111" s="47"/>
      <c r="E111" s="47"/>
      <c r="F111" s="47"/>
      <c r="G111" s="47"/>
      <c r="H111" s="3"/>
      <c r="I111" s="3"/>
      <c r="J111" s="55"/>
      <c r="K111" s="55"/>
      <c r="L111" s="55"/>
      <c r="M111" s="55"/>
      <c r="N111" s="55"/>
      <c r="O111" s="55"/>
      <c r="P111" s="55"/>
      <c r="Q111" s="55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</row>
    <row r="112" spans="1:29" ht="12.75">
      <c r="A112" s="47"/>
      <c r="B112" s="47"/>
      <c r="C112" s="47"/>
      <c r="D112" s="47"/>
      <c r="E112" s="47"/>
      <c r="F112" s="47"/>
      <c r="G112" s="47"/>
      <c r="H112" s="3"/>
      <c r="I112" s="3"/>
      <c r="J112" s="55"/>
      <c r="K112" s="55"/>
      <c r="L112" s="55"/>
      <c r="M112" s="55"/>
      <c r="N112" s="55"/>
      <c r="O112" s="55"/>
      <c r="P112" s="55"/>
      <c r="Q112" s="55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</row>
    <row r="113" spans="1:29" ht="12.75">
      <c r="A113" s="47"/>
      <c r="B113" s="47"/>
      <c r="C113" s="47"/>
      <c r="D113" s="47"/>
      <c r="E113" s="47"/>
      <c r="F113" s="47"/>
      <c r="G113" s="47"/>
      <c r="H113" s="3"/>
      <c r="I113" s="3"/>
      <c r="J113" s="55"/>
      <c r="K113" s="55"/>
      <c r="L113" s="55"/>
      <c r="M113" s="55"/>
      <c r="N113" s="55"/>
      <c r="O113" s="55"/>
      <c r="P113" s="55"/>
      <c r="Q113" s="55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</row>
    <row r="114" spans="1:29" ht="12.75">
      <c r="A114" s="47"/>
      <c r="B114" s="47"/>
      <c r="C114" s="47"/>
      <c r="D114" s="47"/>
      <c r="E114" s="47"/>
      <c r="F114" s="47"/>
      <c r="G114" s="47"/>
      <c r="H114" s="3"/>
      <c r="I114" s="3"/>
      <c r="J114" s="55"/>
      <c r="K114" s="55"/>
      <c r="L114" s="55"/>
      <c r="M114" s="55"/>
      <c r="N114" s="55"/>
      <c r="O114" s="55"/>
      <c r="P114" s="55"/>
      <c r="Q114" s="55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</row>
    <row r="115" spans="1:29" ht="12.75">
      <c r="A115" s="47"/>
      <c r="B115" s="47"/>
      <c r="C115" s="47"/>
      <c r="D115" s="47"/>
      <c r="E115" s="47"/>
      <c r="F115" s="47"/>
      <c r="G115" s="47"/>
      <c r="H115" s="3"/>
      <c r="I115" s="3"/>
      <c r="J115" s="55"/>
      <c r="K115" s="55"/>
      <c r="L115" s="55"/>
      <c r="M115" s="55"/>
      <c r="N115" s="55"/>
      <c r="O115" s="55"/>
      <c r="P115" s="55"/>
      <c r="Q115" s="55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</row>
    <row r="116" spans="1:29" ht="12.75">
      <c r="A116" s="47"/>
      <c r="B116" s="47"/>
      <c r="C116" s="47"/>
      <c r="D116" s="47"/>
      <c r="E116" s="47"/>
      <c r="F116" s="47"/>
      <c r="G116" s="47"/>
      <c r="H116" s="3"/>
      <c r="I116" s="3"/>
      <c r="J116" s="55"/>
      <c r="K116" s="55"/>
      <c r="L116" s="55"/>
      <c r="M116" s="55"/>
      <c r="N116" s="55"/>
      <c r="O116" s="55"/>
      <c r="P116" s="55"/>
      <c r="Q116" s="55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</row>
    <row r="117" spans="1:29" ht="12.75">
      <c r="A117" s="47"/>
      <c r="B117" s="47"/>
      <c r="C117" s="47"/>
      <c r="D117" s="47"/>
      <c r="E117" s="47"/>
      <c r="F117" s="47"/>
      <c r="G117" s="47"/>
      <c r="H117" s="3"/>
      <c r="I117" s="3"/>
      <c r="J117" s="55"/>
      <c r="K117" s="55"/>
      <c r="L117" s="55"/>
      <c r="M117" s="55"/>
      <c r="N117" s="55"/>
      <c r="O117" s="55"/>
      <c r="P117" s="55"/>
      <c r="Q117" s="55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</row>
    <row r="118" spans="1:29" ht="12.75">
      <c r="A118" s="47"/>
      <c r="B118" s="47"/>
      <c r="C118" s="47"/>
      <c r="D118" s="47"/>
      <c r="E118" s="47"/>
      <c r="F118" s="47"/>
      <c r="G118" s="47"/>
      <c r="H118" s="3"/>
      <c r="I118" s="3"/>
      <c r="J118" s="55"/>
      <c r="K118" s="55"/>
      <c r="L118" s="55"/>
      <c r="M118" s="55"/>
      <c r="N118" s="55"/>
      <c r="O118" s="55"/>
      <c r="P118" s="55"/>
      <c r="Q118" s="55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</row>
    <row r="119" spans="1:29" ht="12.75">
      <c r="A119" s="47"/>
      <c r="B119" s="47"/>
      <c r="C119" s="47"/>
      <c r="D119" s="47"/>
      <c r="E119" s="47"/>
      <c r="F119" s="47"/>
      <c r="G119" s="47"/>
      <c r="H119" s="3"/>
      <c r="I119" s="3"/>
      <c r="J119" s="55"/>
      <c r="K119" s="55"/>
      <c r="L119" s="55"/>
      <c r="M119" s="55"/>
      <c r="N119" s="55"/>
      <c r="O119" s="55"/>
      <c r="P119" s="55"/>
      <c r="Q119" s="55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</row>
    <row r="120" spans="1:29" ht="12.75">
      <c r="A120" s="47"/>
      <c r="B120" s="47"/>
      <c r="C120" s="47"/>
      <c r="D120" s="47"/>
      <c r="E120" s="47"/>
      <c r="F120" s="47"/>
      <c r="G120" s="47"/>
      <c r="H120" s="3"/>
      <c r="I120" s="3"/>
      <c r="J120" s="55"/>
      <c r="K120" s="55"/>
      <c r="L120" s="55"/>
      <c r="M120" s="55"/>
      <c r="N120" s="55"/>
      <c r="O120" s="55"/>
      <c r="P120" s="55"/>
      <c r="Q120" s="55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</row>
    <row r="121" spans="1:29" ht="12.75">
      <c r="A121" s="47"/>
      <c r="B121" s="47"/>
      <c r="C121" s="47"/>
      <c r="D121" s="47"/>
      <c r="E121" s="47"/>
      <c r="F121" s="47"/>
      <c r="G121" s="47"/>
      <c r="H121" s="3"/>
      <c r="I121" s="3"/>
      <c r="J121" s="55"/>
      <c r="K121" s="55"/>
      <c r="L121" s="55"/>
      <c r="M121" s="55"/>
      <c r="N121" s="55"/>
      <c r="O121" s="55"/>
      <c r="P121" s="55"/>
      <c r="Q121" s="55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</row>
    <row r="122" spans="1:29" ht="12.75">
      <c r="A122" s="47"/>
      <c r="B122" s="47"/>
      <c r="C122" s="47"/>
      <c r="D122" s="47"/>
      <c r="E122" s="47"/>
      <c r="F122" s="47"/>
      <c r="G122" s="47"/>
      <c r="H122" s="3"/>
      <c r="I122" s="3"/>
      <c r="J122" s="55"/>
      <c r="K122" s="55"/>
      <c r="L122" s="55"/>
      <c r="M122" s="55"/>
      <c r="N122" s="55"/>
      <c r="O122" s="55"/>
      <c r="P122" s="55"/>
      <c r="Q122" s="55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</row>
    <row r="123" spans="1:18" ht="12.75">
      <c r="A123" s="47"/>
      <c r="B123" s="47"/>
      <c r="C123" s="47"/>
      <c r="D123" s="47"/>
      <c r="E123" s="47"/>
      <c r="F123" s="47"/>
      <c r="G123" s="47"/>
      <c r="H123" s="3"/>
      <c r="I123" s="3"/>
      <c r="J123" s="55"/>
      <c r="K123" s="55"/>
      <c r="L123" s="55"/>
      <c r="M123" s="55"/>
      <c r="N123" s="55"/>
      <c r="O123" s="55"/>
      <c r="P123" s="55"/>
      <c r="Q123" s="55"/>
      <c r="R123" s="3"/>
    </row>
    <row r="124" spans="1:18" ht="12.75">
      <c r="A124" s="47"/>
      <c r="B124" s="47"/>
      <c r="C124" s="47"/>
      <c r="D124" s="47"/>
      <c r="E124" s="47"/>
      <c r="F124" s="47"/>
      <c r="G124" s="47"/>
      <c r="H124" s="3"/>
      <c r="I124" s="3"/>
      <c r="J124" s="55"/>
      <c r="K124" s="55"/>
      <c r="L124" s="55"/>
      <c r="M124" s="55"/>
      <c r="N124" s="55"/>
      <c r="O124" s="55"/>
      <c r="P124" s="55"/>
      <c r="Q124" s="55"/>
      <c r="R124" s="3"/>
    </row>
    <row r="125" spans="10:17" ht="12.75">
      <c r="J125" s="56"/>
      <c r="K125" s="56"/>
      <c r="L125" s="56"/>
      <c r="M125" s="56"/>
      <c r="N125" s="56"/>
      <c r="O125" s="56"/>
      <c r="P125" s="56"/>
      <c r="Q125" s="56"/>
    </row>
    <row r="126" spans="10:17" ht="12.75">
      <c r="J126" s="56"/>
      <c r="K126" s="56"/>
      <c r="L126" s="56"/>
      <c r="M126" s="56"/>
      <c r="N126" s="56"/>
      <c r="O126" s="56"/>
      <c r="P126" s="56"/>
      <c r="Q126" s="56"/>
    </row>
    <row r="127" spans="10:17" ht="12.75">
      <c r="J127" s="56"/>
      <c r="K127" s="56"/>
      <c r="L127" s="56"/>
      <c r="M127" s="56"/>
      <c r="N127" s="56"/>
      <c r="O127" s="56"/>
      <c r="P127" s="56"/>
      <c r="Q127" s="56"/>
    </row>
    <row r="128" spans="10:17" ht="12.75">
      <c r="J128" s="56"/>
      <c r="K128" s="56"/>
      <c r="L128" s="56"/>
      <c r="M128" s="56"/>
      <c r="N128" s="56"/>
      <c r="O128" s="56"/>
      <c r="P128" s="56"/>
      <c r="Q128" s="56"/>
    </row>
    <row r="129" spans="10:17" ht="12.75">
      <c r="J129" s="56"/>
      <c r="K129" s="56"/>
      <c r="L129" s="56"/>
      <c r="M129" s="56"/>
      <c r="N129" s="56"/>
      <c r="O129" s="56"/>
      <c r="P129" s="56"/>
      <c r="Q129" s="56"/>
    </row>
    <row r="130" spans="10:17" ht="12.75">
      <c r="J130" s="56"/>
      <c r="K130" s="56"/>
      <c r="L130" s="56"/>
      <c r="M130" s="56"/>
      <c r="N130" s="56"/>
      <c r="O130" s="56"/>
      <c r="P130" s="56"/>
      <c r="Q130" s="56"/>
    </row>
    <row r="131" spans="10:17" ht="12.75">
      <c r="J131" s="56"/>
      <c r="K131" s="56"/>
      <c r="L131" s="56"/>
      <c r="M131" s="56"/>
      <c r="N131" s="56"/>
      <c r="O131" s="56"/>
      <c r="P131" s="56"/>
      <c r="Q131" s="56"/>
    </row>
    <row r="132" spans="10:17" ht="12.75">
      <c r="J132" s="56"/>
      <c r="K132" s="56"/>
      <c r="L132" s="56"/>
      <c r="M132" s="56"/>
      <c r="N132" s="56"/>
      <c r="O132" s="56"/>
      <c r="P132" s="56"/>
      <c r="Q132" s="56"/>
    </row>
    <row r="133" spans="10:17" ht="12.75">
      <c r="J133" s="56"/>
      <c r="K133" s="56"/>
      <c r="L133" s="56"/>
      <c r="M133" s="56"/>
      <c r="N133" s="56"/>
      <c r="O133" s="56"/>
      <c r="P133" s="56"/>
      <c r="Q133" s="56"/>
    </row>
    <row r="134" spans="10:17" ht="12.75">
      <c r="J134" s="56"/>
      <c r="K134" s="56"/>
      <c r="L134" s="56"/>
      <c r="M134" s="56"/>
      <c r="N134" s="56"/>
      <c r="O134" s="56"/>
      <c r="P134" s="56"/>
      <c r="Q134" s="56"/>
    </row>
    <row r="135" spans="10:17" ht="12.75">
      <c r="J135" s="56"/>
      <c r="K135" s="56"/>
      <c r="L135" s="56"/>
      <c r="M135" s="56"/>
      <c r="N135" s="56"/>
      <c r="O135" s="56"/>
      <c r="P135" s="56"/>
      <c r="Q135" s="56"/>
    </row>
    <row r="136" spans="10:17" ht="12.75">
      <c r="J136" s="56"/>
      <c r="K136" s="56"/>
      <c r="L136" s="56"/>
      <c r="M136" s="56"/>
      <c r="N136" s="56"/>
      <c r="O136" s="56"/>
      <c r="P136" s="56"/>
      <c r="Q136" s="56"/>
    </row>
    <row r="137" spans="10:17" ht="12.75">
      <c r="J137" s="56"/>
      <c r="K137" s="56"/>
      <c r="L137" s="56"/>
      <c r="M137" s="56"/>
      <c r="N137" s="56"/>
      <c r="O137" s="56"/>
      <c r="P137" s="56"/>
      <c r="Q137" s="56"/>
    </row>
    <row r="138" spans="10:17" ht="12.75">
      <c r="J138" s="56"/>
      <c r="K138" s="56"/>
      <c r="L138" s="56"/>
      <c r="M138" s="56"/>
      <c r="N138" s="56"/>
      <c r="O138" s="56"/>
      <c r="P138" s="56"/>
      <c r="Q138" s="56"/>
    </row>
    <row r="139" spans="10:17" ht="12.75">
      <c r="J139" s="56"/>
      <c r="K139" s="56"/>
      <c r="L139" s="56"/>
      <c r="M139" s="56"/>
      <c r="N139" s="56"/>
      <c r="O139" s="56"/>
      <c r="P139" s="56"/>
      <c r="Q139" s="56"/>
    </row>
    <row r="140" spans="10:17" ht="12.75">
      <c r="J140" s="56"/>
      <c r="K140" s="56"/>
      <c r="L140" s="56"/>
      <c r="M140" s="56"/>
      <c r="N140" s="56"/>
      <c r="O140" s="56"/>
      <c r="P140" s="56"/>
      <c r="Q140" s="56"/>
    </row>
    <row r="141" spans="10:17" ht="12.75">
      <c r="J141" s="56"/>
      <c r="K141" s="56"/>
      <c r="L141" s="56"/>
      <c r="M141" s="56"/>
      <c r="N141" s="56"/>
      <c r="O141" s="56"/>
      <c r="P141" s="56"/>
      <c r="Q141" s="56"/>
    </row>
    <row r="142" spans="10:17" ht="12.75">
      <c r="J142" s="56"/>
      <c r="K142" s="56"/>
      <c r="L142" s="56"/>
      <c r="M142" s="56"/>
      <c r="N142" s="56"/>
      <c r="O142" s="56"/>
      <c r="P142" s="56"/>
      <c r="Q142" s="56"/>
    </row>
    <row r="143" spans="10:17" ht="12.75">
      <c r="J143" s="56"/>
      <c r="K143" s="56"/>
      <c r="L143" s="56"/>
      <c r="M143" s="56"/>
      <c r="N143" s="56"/>
      <c r="O143" s="56"/>
      <c r="P143" s="56"/>
      <c r="Q143" s="56"/>
    </row>
    <row r="144" spans="10:17" ht="12.75">
      <c r="J144" s="56"/>
      <c r="K144" s="56"/>
      <c r="L144" s="56"/>
      <c r="M144" s="56"/>
      <c r="N144" s="56"/>
      <c r="O144" s="56"/>
      <c r="P144" s="56"/>
      <c r="Q144" s="56"/>
    </row>
    <row r="145" spans="10:17" ht="12.75">
      <c r="J145" s="56"/>
      <c r="K145" s="56"/>
      <c r="L145" s="56"/>
      <c r="M145" s="56"/>
      <c r="N145" s="56"/>
      <c r="O145" s="56"/>
      <c r="P145" s="56"/>
      <c r="Q145" s="56"/>
    </row>
    <row r="146" spans="10:17" ht="12.75">
      <c r="J146" s="56"/>
      <c r="K146" s="56"/>
      <c r="L146" s="56"/>
      <c r="M146" s="56"/>
      <c r="N146" s="56"/>
      <c r="O146" s="56"/>
      <c r="P146" s="56"/>
      <c r="Q146" s="56"/>
    </row>
    <row r="147" spans="10:17" ht="12.75">
      <c r="J147" s="56"/>
      <c r="K147" s="56"/>
      <c r="L147" s="56"/>
      <c r="M147" s="56"/>
      <c r="N147" s="56"/>
      <c r="O147" s="56"/>
      <c r="P147" s="56"/>
      <c r="Q147" s="56"/>
    </row>
    <row r="148" spans="10:17" ht="12.75">
      <c r="J148" s="56"/>
      <c r="K148" s="56"/>
      <c r="L148" s="56"/>
      <c r="M148" s="56"/>
      <c r="N148" s="56"/>
      <c r="O148" s="56"/>
      <c r="P148" s="56"/>
      <c r="Q148" s="56"/>
    </row>
    <row r="149" spans="10:17" ht="12.75">
      <c r="J149" s="56"/>
      <c r="K149" s="56"/>
      <c r="L149" s="56"/>
      <c r="M149" s="56"/>
      <c r="N149" s="56"/>
      <c r="O149" s="56"/>
      <c r="P149" s="56"/>
      <c r="Q149" s="56"/>
    </row>
    <row r="150" spans="10:17" ht="12.75">
      <c r="J150" s="56"/>
      <c r="K150" s="56"/>
      <c r="L150" s="56"/>
      <c r="M150" s="56"/>
      <c r="N150" s="56"/>
      <c r="O150" s="56"/>
      <c r="P150" s="56"/>
      <c r="Q150" s="56"/>
    </row>
    <row r="151" spans="10:17" ht="12.75">
      <c r="J151" s="56"/>
      <c r="K151" s="56"/>
      <c r="L151" s="56"/>
      <c r="M151" s="56"/>
      <c r="N151" s="56"/>
      <c r="O151" s="56"/>
      <c r="P151" s="56"/>
      <c r="Q151" s="56"/>
    </row>
    <row r="152" spans="10:17" ht="12.75">
      <c r="J152" s="56"/>
      <c r="K152" s="56"/>
      <c r="L152" s="56"/>
      <c r="M152" s="56"/>
      <c r="N152" s="56"/>
      <c r="O152" s="56"/>
      <c r="P152" s="56"/>
      <c r="Q152" s="56"/>
    </row>
    <row r="153" spans="10:17" ht="12.75">
      <c r="J153" s="56"/>
      <c r="K153" s="56"/>
      <c r="L153" s="56"/>
      <c r="M153" s="56"/>
      <c r="N153" s="56"/>
      <c r="O153" s="56"/>
      <c r="P153" s="56"/>
      <c r="Q153" s="56"/>
    </row>
    <row r="154" spans="10:17" ht="12.75">
      <c r="J154" s="56"/>
      <c r="K154" s="56"/>
      <c r="L154" s="56"/>
      <c r="M154" s="56"/>
      <c r="N154" s="56"/>
      <c r="O154" s="56"/>
      <c r="P154" s="56"/>
      <c r="Q154" s="56"/>
    </row>
    <row r="155" spans="10:17" ht="12.75">
      <c r="J155" s="56"/>
      <c r="K155" s="56"/>
      <c r="L155" s="56"/>
      <c r="M155" s="56"/>
      <c r="N155" s="56"/>
      <c r="O155" s="56"/>
      <c r="P155" s="56"/>
      <c r="Q155" s="56"/>
    </row>
    <row r="156" spans="10:17" ht="12.75">
      <c r="J156" s="56"/>
      <c r="K156" s="56"/>
      <c r="L156" s="56"/>
      <c r="M156" s="56"/>
      <c r="N156" s="56"/>
      <c r="O156" s="56"/>
      <c r="P156" s="56"/>
      <c r="Q156" s="56"/>
    </row>
    <row r="157" spans="10:17" ht="12.75">
      <c r="J157" s="56"/>
      <c r="K157" s="56"/>
      <c r="L157" s="56"/>
      <c r="M157" s="56"/>
      <c r="N157" s="56"/>
      <c r="O157" s="56"/>
      <c r="P157" s="56"/>
      <c r="Q157" s="56"/>
    </row>
    <row r="158" spans="10:17" ht="12.75">
      <c r="J158" s="56"/>
      <c r="K158" s="56"/>
      <c r="L158" s="56"/>
      <c r="M158" s="56"/>
      <c r="N158" s="56"/>
      <c r="O158" s="56"/>
      <c r="P158" s="56"/>
      <c r="Q158" s="56"/>
    </row>
    <row r="159" spans="10:17" ht="12.75">
      <c r="J159" s="56"/>
      <c r="K159" s="56"/>
      <c r="L159" s="56"/>
      <c r="M159" s="56"/>
      <c r="N159" s="56"/>
      <c r="O159" s="56"/>
      <c r="P159" s="56"/>
      <c r="Q159" s="56"/>
    </row>
    <row r="160" spans="10:17" ht="12.75">
      <c r="J160" s="56"/>
      <c r="K160" s="56"/>
      <c r="L160" s="56"/>
      <c r="M160" s="56"/>
      <c r="N160" s="56"/>
      <c r="O160" s="56"/>
      <c r="P160" s="56"/>
      <c r="Q160" s="56"/>
    </row>
    <row r="161" spans="10:17" ht="12.75">
      <c r="J161" s="56"/>
      <c r="K161" s="56"/>
      <c r="L161" s="56"/>
      <c r="M161" s="56"/>
      <c r="N161" s="56"/>
      <c r="O161" s="56"/>
      <c r="P161" s="56"/>
      <c r="Q161" s="56"/>
    </row>
    <row r="162" spans="10:17" ht="12.75">
      <c r="J162" s="56"/>
      <c r="K162" s="56"/>
      <c r="L162" s="56"/>
      <c r="M162" s="56"/>
      <c r="N162" s="56"/>
      <c r="O162" s="56"/>
      <c r="P162" s="56"/>
      <c r="Q162" s="56"/>
    </row>
    <row r="163" spans="10:17" ht="12.75">
      <c r="J163" s="56"/>
      <c r="K163" s="56"/>
      <c r="L163" s="56"/>
      <c r="M163" s="56"/>
      <c r="N163" s="56"/>
      <c r="O163" s="56"/>
      <c r="P163" s="56"/>
      <c r="Q163" s="56"/>
    </row>
    <row r="164" spans="10:17" ht="12.75">
      <c r="J164" s="56"/>
      <c r="K164" s="56"/>
      <c r="L164" s="56"/>
      <c r="M164" s="56"/>
      <c r="N164" s="56"/>
      <c r="O164" s="56"/>
      <c r="P164" s="56"/>
      <c r="Q164" s="56"/>
    </row>
    <row r="165" spans="10:17" ht="12.75">
      <c r="J165" s="56"/>
      <c r="K165" s="56"/>
      <c r="L165" s="56"/>
      <c r="M165" s="56"/>
      <c r="N165" s="56"/>
      <c r="O165" s="56"/>
      <c r="P165" s="56"/>
      <c r="Q165" s="56"/>
    </row>
    <row r="166" spans="10:17" ht="12.75">
      <c r="J166" s="56"/>
      <c r="K166" s="56"/>
      <c r="L166" s="56"/>
      <c r="M166" s="56"/>
      <c r="N166" s="56"/>
      <c r="O166" s="56"/>
      <c r="P166" s="56"/>
      <c r="Q166" s="56"/>
    </row>
    <row r="167" spans="10:17" ht="12.75">
      <c r="J167" s="56"/>
      <c r="K167" s="56"/>
      <c r="L167" s="56"/>
      <c r="M167" s="56"/>
      <c r="N167" s="56"/>
      <c r="O167" s="56"/>
      <c r="P167" s="56"/>
      <c r="Q167" s="56"/>
    </row>
    <row r="168" spans="10:17" ht="12.75">
      <c r="J168" s="56"/>
      <c r="K168" s="56"/>
      <c r="L168" s="56"/>
      <c r="M168" s="56"/>
      <c r="N168" s="56"/>
      <c r="O168" s="56"/>
      <c r="P168" s="56"/>
      <c r="Q168" s="56"/>
    </row>
    <row r="169" spans="10:17" ht="12.75">
      <c r="J169" s="56"/>
      <c r="K169" s="56"/>
      <c r="L169" s="56"/>
      <c r="M169" s="56"/>
      <c r="N169" s="56"/>
      <c r="O169" s="56"/>
      <c r="P169" s="56"/>
      <c r="Q169" s="56"/>
    </row>
    <row r="170" spans="10:17" ht="12.75">
      <c r="J170" s="56"/>
      <c r="K170" s="56"/>
      <c r="L170" s="56"/>
      <c r="M170" s="56"/>
      <c r="N170" s="56"/>
      <c r="O170" s="56"/>
      <c r="P170" s="56"/>
      <c r="Q170" s="56"/>
    </row>
    <row r="171" spans="10:17" ht="12.75">
      <c r="J171" s="56"/>
      <c r="K171" s="56"/>
      <c r="L171" s="56"/>
      <c r="M171" s="56"/>
      <c r="N171" s="56"/>
      <c r="O171" s="56"/>
      <c r="P171" s="56"/>
      <c r="Q171" s="56"/>
    </row>
    <row r="172" spans="10:17" ht="12.75">
      <c r="J172" s="56"/>
      <c r="K172" s="56"/>
      <c r="L172" s="56"/>
      <c r="M172" s="56"/>
      <c r="N172" s="56"/>
      <c r="O172" s="56"/>
      <c r="P172" s="56"/>
      <c r="Q172" s="56"/>
    </row>
    <row r="173" spans="10:17" ht="12.75">
      <c r="J173" s="56"/>
      <c r="K173" s="56"/>
      <c r="L173" s="56"/>
      <c r="M173" s="56"/>
      <c r="N173" s="56"/>
      <c r="O173" s="56"/>
      <c r="P173" s="56"/>
      <c r="Q173" s="56"/>
    </row>
    <row r="174" spans="10:17" ht="12.75">
      <c r="J174" s="56"/>
      <c r="K174" s="56"/>
      <c r="L174" s="56"/>
      <c r="M174" s="56"/>
      <c r="N174" s="56"/>
      <c r="O174" s="56"/>
      <c r="P174" s="56"/>
      <c r="Q174" s="56"/>
    </row>
    <row r="175" spans="10:17" ht="12.75">
      <c r="J175" s="56"/>
      <c r="K175" s="56"/>
      <c r="L175" s="56"/>
      <c r="M175" s="56"/>
      <c r="N175" s="56"/>
      <c r="O175" s="56"/>
      <c r="P175" s="56"/>
      <c r="Q175" s="56"/>
    </row>
    <row r="176" spans="10:17" ht="12.75">
      <c r="J176" s="56"/>
      <c r="K176" s="56"/>
      <c r="L176" s="56"/>
      <c r="M176" s="56"/>
      <c r="N176" s="56"/>
      <c r="O176" s="56"/>
      <c r="P176" s="56"/>
      <c r="Q176" s="56"/>
    </row>
    <row r="177" spans="10:17" ht="12.75">
      <c r="J177" s="56"/>
      <c r="K177" s="56"/>
      <c r="L177" s="56"/>
      <c r="M177" s="56"/>
      <c r="N177" s="56"/>
      <c r="O177" s="56"/>
      <c r="P177" s="56"/>
      <c r="Q177" s="56"/>
    </row>
    <row r="178" spans="10:17" ht="12.75">
      <c r="J178" s="56"/>
      <c r="K178" s="56"/>
      <c r="L178" s="56"/>
      <c r="M178" s="56"/>
      <c r="N178" s="56"/>
      <c r="O178" s="56"/>
      <c r="P178" s="56"/>
      <c r="Q178" s="56"/>
    </row>
    <row r="179" spans="10:17" ht="12.75">
      <c r="J179" s="56"/>
      <c r="K179" s="56"/>
      <c r="L179" s="56"/>
      <c r="M179" s="56"/>
      <c r="N179" s="56"/>
      <c r="O179" s="56"/>
      <c r="P179" s="56"/>
      <c r="Q179" s="56"/>
    </row>
    <row r="180" spans="10:17" ht="12.75">
      <c r="J180" s="56"/>
      <c r="K180" s="56"/>
      <c r="L180" s="56"/>
      <c r="M180" s="56"/>
      <c r="N180" s="56"/>
      <c r="O180" s="56"/>
      <c r="P180" s="56"/>
      <c r="Q180" s="56"/>
    </row>
    <row r="181" spans="10:17" ht="12.75">
      <c r="J181" s="56"/>
      <c r="K181" s="56"/>
      <c r="L181" s="56"/>
      <c r="M181" s="56"/>
      <c r="N181" s="56"/>
      <c r="O181" s="56"/>
      <c r="P181" s="56"/>
      <c r="Q181" s="56"/>
    </row>
    <row r="182" spans="10:17" ht="12.75">
      <c r="J182" s="56"/>
      <c r="K182" s="56"/>
      <c r="L182" s="56"/>
      <c r="M182" s="56"/>
      <c r="N182" s="56"/>
      <c r="O182" s="56"/>
      <c r="P182" s="56"/>
      <c r="Q182" s="56"/>
    </row>
    <row r="183" spans="10:17" ht="12.75">
      <c r="J183" s="56"/>
      <c r="K183" s="56"/>
      <c r="L183" s="56"/>
      <c r="M183" s="56"/>
      <c r="N183" s="56"/>
      <c r="O183" s="56"/>
      <c r="P183" s="56"/>
      <c r="Q183" s="56"/>
    </row>
    <row r="184" spans="10:17" ht="12.75">
      <c r="J184" s="56"/>
      <c r="K184" s="56"/>
      <c r="L184" s="56"/>
      <c r="M184" s="56"/>
      <c r="N184" s="56"/>
      <c r="O184" s="56"/>
      <c r="P184" s="56"/>
      <c r="Q184" s="56"/>
    </row>
    <row r="185" spans="10:17" ht="12.75">
      <c r="J185" s="56"/>
      <c r="K185" s="56"/>
      <c r="L185" s="56"/>
      <c r="M185" s="56"/>
      <c r="N185" s="56"/>
      <c r="O185" s="56"/>
      <c r="P185" s="56"/>
      <c r="Q185" s="56"/>
    </row>
    <row r="186" spans="10:17" ht="12.75">
      <c r="J186" s="56"/>
      <c r="K186" s="56"/>
      <c r="L186" s="56"/>
      <c r="M186" s="56"/>
      <c r="N186" s="56"/>
      <c r="O186" s="56"/>
      <c r="P186" s="56"/>
      <c r="Q186" s="56"/>
    </row>
    <row r="187" spans="10:17" ht="12.75">
      <c r="J187" s="56"/>
      <c r="K187" s="56"/>
      <c r="L187" s="56"/>
      <c r="M187" s="56"/>
      <c r="N187" s="56"/>
      <c r="O187" s="56"/>
      <c r="P187" s="56"/>
      <c r="Q187" s="56"/>
    </row>
    <row r="188" spans="10:17" ht="12.75">
      <c r="J188" s="56"/>
      <c r="K188" s="56"/>
      <c r="L188" s="56"/>
      <c r="M188" s="56"/>
      <c r="N188" s="56"/>
      <c r="O188" s="56"/>
      <c r="P188" s="56"/>
      <c r="Q188" s="56"/>
    </row>
    <row r="189" spans="10:17" ht="12.75">
      <c r="J189" s="56"/>
      <c r="K189" s="56"/>
      <c r="L189" s="56"/>
      <c r="M189" s="56"/>
      <c r="N189" s="56"/>
      <c r="O189" s="56"/>
      <c r="P189" s="56"/>
      <c r="Q189" s="56"/>
    </row>
    <row r="190" spans="10:17" ht="12.75">
      <c r="J190" s="56"/>
      <c r="K190" s="56"/>
      <c r="L190" s="56"/>
      <c r="M190" s="56"/>
      <c r="N190" s="56"/>
      <c r="O190" s="56"/>
      <c r="P190" s="56"/>
      <c r="Q190" s="56"/>
    </row>
    <row r="191" spans="10:17" ht="12.75">
      <c r="J191" s="56"/>
      <c r="K191" s="56"/>
      <c r="L191" s="56"/>
      <c r="M191" s="56"/>
      <c r="N191" s="56"/>
      <c r="O191" s="56"/>
      <c r="P191" s="56"/>
      <c r="Q191" s="56"/>
    </row>
    <row r="192" spans="10:17" ht="12.75">
      <c r="J192" s="56"/>
      <c r="K192" s="56"/>
      <c r="L192" s="56"/>
      <c r="M192" s="56"/>
      <c r="N192" s="56"/>
      <c r="O192" s="56"/>
      <c r="P192" s="56"/>
      <c r="Q192" s="56"/>
    </row>
    <row r="193" spans="10:17" ht="12.75">
      <c r="J193" s="56"/>
      <c r="K193" s="56"/>
      <c r="L193" s="56"/>
      <c r="M193" s="56"/>
      <c r="N193" s="56"/>
      <c r="O193" s="56"/>
      <c r="P193" s="56"/>
      <c r="Q193" s="56"/>
    </row>
    <row r="194" spans="10:17" ht="12.75">
      <c r="J194" s="56"/>
      <c r="K194" s="56"/>
      <c r="L194" s="56"/>
      <c r="M194" s="56"/>
      <c r="N194" s="56"/>
      <c r="O194" s="56"/>
      <c r="P194" s="56"/>
      <c r="Q194" s="56"/>
    </row>
    <row r="195" spans="10:17" ht="12.75">
      <c r="J195" s="56"/>
      <c r="K195" s="56"/>
      <c r="L195" s="56"/>
      <c r="M195" s="56"/>
      <c r="N195" s="56"/>
      <c r="O195" s="56"/>
      <c r="P195" s="56"/>
      <c r="Q195" s="56"/>
    </row>
    <row r="196" spans="10:17" ht="12.75">
      <c r="J196" s="56"/>
      <c r="K196" s="56"/>
      <c r="L196" s="56"/>
      <c r="M196" s="56"/>
      <c r="N196" s="56"/>
      <c r="O196" s="56"/>
      <c r="P196" s="56"/>
      <c r="Q196" s="56"/>
    </row>
    <row r="197" spans="10:17" ht="12.75">
      <c r="J197" s="56"/>
      <c r="K197" s="56"/>
      <c r="L197" s="56"/>
      <c r="M197" s="56"/>
      <c r="N197" s="56"/>
      <c r="O197" s="56"/>
      <c r="P197" s="56"/>
      <c r="Q197" s="56"/>
    </row>
    <row r="198" spans="10:17" ht="12.75">
      <c r="J198" s="56"/>
      <c r="K198" s="56"/>
      <c r="L198" s="56"/>
      <c r="M198" s="56"/>
      <c r="N198" s="56"/>
      <c r="O198" s="56"/>
      <c r="P198" s="56"/>
      <c r="Q198" s="56"/>
    </row>
    <row r="199" spans="10:17" ht="12.75">
      <c r="J199" s="56"/>
      <c r="K199" s="56"/>
      <c r="L199" s="56"/>
      <c r="M199" s="56"/>
      <c r="N199" s="56"/>
      <c r="O199" s="56"/>
      <c r="P199" s="56"/>
      <c r="Q199" s="56"/>
    </row>
    <row r="200" spans="10:17" ht="12.75">
      <c r="J200" s="56"/>
      <c r="K200" s="56"/>
      <c r="L200" s="56"/>
      <c r="M200" s="56"/>
      <c r="N200" s="56"/>
      <c r="O200" s="56"/>
      <c r="P200" s="56"/>
      <c r="Q200" s="56"/>
    </row>
    <row r="201" spans="10:17" ht="12.75">
      <c r="J201" s="56"/>
      <c r="K201" s="56"/>
      <c r="L201" s="56"/>
      <c r="M201" s="56"/>
      <c r="N201" s="56"/>
      <c r="O201" s="56"/>
      <c r="P201" s="56"/>
      <c r="Q201" s="56"/>
    </row>
    <row r="202" spans="10:17" ht="12.75">
      <c r="J202" s="56"/>
      <c r="K202" s="56"/>
      <c r="L202" s="56"/>
      <c r="M202" s="56"/>
      <c r="N202" s="56"/>
      <c r="O202" s="56"/>
      <c r="P202" s="56"/>
      <c r="Q202" s="56"/>
    </row>
    <row r="203" spans="10:17" ht="12.75">
      <c r="J203" s="56"/>
      <c r="K203" s="56"/>
      <c r="L203" s="56"/>
      <c r="M203" s="56"/>
      <c r="N203" s="56"/>
      <c r="O203" s="56"/>
      <c r="P203" s="56"/>
      <c r="Q203" s="56"/>
    </row>
    <row r="204" spans="10:17" ht="12.75">
      <c r="J204" s="56"/>
      <c r="K204" s="56"/>
      <c r="L204" s="56"/>
      <c r="M204" s="56"/>
      <c r="N204" s="56"/>
      <c r="O204" s="56"/>
      <c r="P204" s="56"/>
      <c r="Q204" s="56"/>
    </row>
    <row r="205" spans="10:17" ht="12.75">
      <c r="J205" s="56"/>
      <c r="K205" s="56"/>
      <c r="L205" s="56"/>
      <c r="M205" s="56"/>
      <c r="N205" s="56"/>
      <c r="O205" s="56"/>
      <c r="P205" s="56"/>
      <c r="Q205" s="56"/>
    </row>
    <row r="206" spans="10:17" ht="12.75">
      <c r="J206" s="56"/>
      <c r="K206" s="56"/>
      <c r="L206" s="56"/>
      <c r="M206" s="56"/>
      <c r="N206" s="56"/>
      <c r="O206" s="56"/>
      <c r="P206" s="56"/>
      <c r="Q206" s="56"/>
    </row>
    <row r="207" spans="10:17" ht="12.75">
      <c r="J207" s="56"/>
      <c r="K207" s="56"/>
      <c r="L207" s="56"/>
      <c r="M207" s="56"/>
      <c r="N207" s="56"/>
      <c r="O207" s="56"/>
      <c r="P207" s="56"/>
      <c r="Q207" s="56"/>
    </row>
    <row r="208" spans="10:17" ht="12.75">
      <c r="J208" s="56"/>
      <c r="K208" s="56"/>
      <c r="L208" s="56"/>
      <c r="M208" s="56"/>
      <c r="N208" s="56"/>
      <c r="O208" s="56"/>
      <c r="P208" s="56"/>
      <c r="Q208" s="56"/>
    </row>
    <row r="209" spans="10:17" ht="12.75">
      <c r="J209" s="56"/>
      <c r="K209" s="56"/>
      <c r="L209" s="56"/>
      <c r="M209" s="56"/>
      <c r="N209" s="56"/>
      <c r="O209" s="56"/>
      <c r="P209" s="56"/>
      <c r="Q209" s="56"/>
    </row>
    <row r="210" spans="10:17" ht="12.75">
      <c r="J210" s="56"/>
      <c r="K210" s="56"/>
      <c r="L210" s="56"/>
      <c r="M210" s="56"/>
      <c r="N210" s="56"/>
      <c r="O210" s="56"/>
      <c r="P210" s="56"/>
      <c r="Q210" s="56"/>
    </row>
    <row r="211" spans="10:17" ht="12.75">
      <c r="J211" s="56"/>
      <c r="K211" s="56"/>
      <c r="L211" s="56"/>
      <c r="M211" s="56"/>
      <c r="N211" s="56"/>
      <c r="O211" s="56"/>
      <c r="P211" s="56"/>
      <c r="Q211" s="56"/>
    </row>
    <row r="212" spans="10:17" ht="12.75">
      <c r="J212" s="56"/>
      <c r="K212" s="56"/>
      <c r="L212" s="56"/>
      <c r="M212" s="56"/>
      <c r="N212" s="56"/>
      <c r="O212" s="56"/>
      <c r="P212" s="56"/>
      <c r="Q212" s="56"/>
    </row>
    <row r="213" spans="10:17" ht="12.75">
      <c r="J213" s="56"/>
      <c r="K213" s="56"/>
      <c r="L213" s="56"/>
      <c r="M213" s="56"/>
      <c r="N213" s="56"/>
      <c r="O213" s="56"/>
      <c r="P213" s="56"/>
      <c r="Q213" s="56"/>
    </row>
    <row r="214" spans="10:17" ht="12.75">
      <c r="J214" s="56"/>
      <c r="K214" s="56"/>
      <c r="L214" s="56"/>
      <c r="M214" s="56"/>
      <c r="N214" s="56"/>
      <c r="O214" s="56"/>
      <c r="P214" s="56"/>
      <c r="Q214" s="56"/>
    </row>
    <row r="215" spans="10:17" ht="12.75">
      <c r="J215" s="56"/>
      <c r="K215" s="56"/>
      <c r="L215" s="56"/>
      <c r="M215" s="56"/>
      <c r="N215" s="56"/>
      <c r="O215" s="56"/>
      <c r="P215" s="56"/>
      <c r="Q215" s="56"/>
    </row>
    <row r="216" spans="10:17" ht="12.75">
      <c r="J216" s="56"/>
      <c r="K216" s="56"/>
      <c r="L216" s="56"/>
      <c r="M216" s="56"/>
      <c r="N216" s="56"/>
      <c r="O216" s="56"/>
      <c r="P216" s="56"/>
      <c r="Q216" s="56"/>
    </row>
    <row r="217" spans="10:17" ht="12.75">
      <c r="J217" s="56"/>
      <c r="K217" s="56"/>
      <c r="L217" s="56"/>
      <c r="M217" s="56"/>
      <c r="N217" s="56"/>
      <c r="O217" s="56"/>
      <c r="P217" s="56"/>
      <c r="Q217" s="56"/>
    </row>
    <row r="218" spans="10:17" ht="12.75">
      <c r="J218" s="56"/>
      <c r="K218" s="56"/>
      <c r="L218" s="56"/>
      <c r="M218" s="56"/>
      <c r="N218" s="56"/>
      <c r="O218" s="56"/>
      <c r="P218" s="56"/>
      <c r="Q218" s="56"/>
    </row>
    <row r="219" spans="10:17" ht="12.75">
      <c r="J219" s="56"/>
      <c r="K219" s="56"/>
      <c r="L219" s="56"/>
      <c r="M219" s="56"/>
      <c r="N219" s="56"/>
      <c r="O219" s="56"/>
      <c r="P219" s="56"/>
      <c r="Q219" s="56"/>
    </row>
    <row r="220" spans="10:17" ht="12.75">
      <c r="J220" s="56"/>
      <c r="K220" s="56"/>
      <c r="L220" s="56"/>
      <c r="M220" s="56"/>
      <c r="N220" s="56"/>
      <c r="O220" s="56"/>
      <c r="P220" s="56"/>
      <c r="Q220" s="56"/>
    </row>
    <row r="221" spans="10:17" ht="12.75">
      <c r="J221" s="56"/>
      <c r="K221" s="56"/>
      <c r="L221" s="56"/>
      <c r="M221" s="56"/>
      <c r="N221" s="56"/>
      <c r="O221" s="56"/>
      <c r="P221" s="56"/>
      <c r="Q221" s="56"/>
    </row>
    <row r="222" spans="10:17" ht="12.75">
      <c r="J222" s="56"/>
      <c r="K222" s="56"/>
      <c r="L222" s="56"/>
      <c r="M222" s="56"/>
      <c r="N222" s="56"/>
      <c r="O222" s="56"/>
      <c r="P222" s="56"/>
      <c r="Q222" s="56"/>
    </row>
    <row r="223" spans="10:17" ht="12.75">
      <c r="J223" s="56"/>
      <c r="K223" s="56"/>
      <c r="L223" s="56"/>
      <c r="M223" s="56"/>
      <c r="N223" s="56"/>
      <c r="O223" s="56"/>
      <c r="P223" s="56"/>
      <c r="Q223" s="56"/>
    </row>
    <row r="224" spans="10:17" ht="12.75">
      <c r="J224" s="56"/>
      <c r="K224" s="56"/>
      <c r="L224" s="56"/>
      <c r="M224" s="56"/>
      <c r="N224" s="56"/>
      <c r="O224" s="56"/>
      <c r="P224" s="56"/>
      <c r="Q224" s="56"/>
    </row>
    <row r="225" spans="10:17" ht="12.75">
      <c r="J225" s="56"/>
      <c r="K225" s="56"/>
      <c r="L225" s="56"/>
      <c r="M225" s="56"/>
      <c r="N225" s="56"/>
      <c r="O225" s="56"/>
      <c r="P225" s="56"/>
      <c r="Q225" s="56"/>
    </row>
    <row r="226" spans="10:17" ht="12.75">
      <c r="J226" s="56"/>
      <c r="K226" s="56"/>
      <c r="L226" s="56"/>
      <c r="M226" s="56"/>
      <c r="N226" s="56"/>
      <c r="O226" s="56"/>
      <c r="P226" s="56"/>
      <c r="Q226" s="56"/>
    </row>
    <row r="227" spans="10:17" ht="12.75">
      <c r="J227" s="56"/>
      <c r="K227" s="56"/>
      <c r="L227" s="56"/>
      <c r="M227" s="56"/>
      <c r="N227" s="56"/>
      <c r="O227" s="56"/>
      <c r="P227" s="56"/>
      <c r="Q227" s="56"/>
    </row>
    <row r="228" spans="10:17" ht="12.75">
      <c r="J228" s="56"/>
      <c r="K228" s="56"/>
      <c r="L228" s="56"/>
      <c r="M228" s="56"/>
      <c r="N228" s="56"/>
      <c r="O228" s="56"/>
      <c r="P228" s="56"/>
      <c r="Q228" s="56"/>
    </row>
    <row r="229" spans="10:17" ht="12.75">
      <c r="J229" s="56"/>
      <c r="K229" s="56"/>
      <c r="L229" s="56"/>
      <c r="M229" s="56"/>
      <c r="N229" s="56"/>
      <c r="O229" s="56"/>
      <c r="P229" s="56"/>
      <c r="Q229" s="56"/>
    </row>
    <row r="230" spans="10:17" ht="12.75">
      <c r="J230" s="56"/>
      <c r="K230" s="56"/>
      <c r="L230" s="56"/>
      <c r="M230" s="56"/>
      <c r="N230" s="56"/>
      <c r="O230" s="56"/>
      <c r="P230" s="56"/>
      <c r="Q230" s="56"/>
    </row>
    <row r="231" spans="10:17" ht="12.75">
      <c r="J231" s="56"/>
      <c r="K231" s="56"/>
      <c r="L231" s="56"/>
      <c r="M231" s="56"/>
      <c r="N231" s="56"/>
      <c r="O231" s="56"/>
      <c r="P231" s="56"/>
      <c r="Q231" s="56"/>
    </row>
    <row r="232" spans="10:17" ht="12.75">
      <c r="J232" s="56"/>
      <c r="K232" s="56"/>
      <c r="L232" s="56"/>
      <c r="M232" s="56"/>
      <c r="N232" s="56"/>
      <c r="O232" s="56"/>
      <c r="P232" s="56"/>
      <c r="Q232" s="56"/>
    </row>
    <row r="233" spans="10:17" ht="12.75">
      <c r="J233" s="56"/>
      <c r="K233" s="56"/>
      <c r="L233" s="56"/>
      <c r="M233" s="56"/>
      <c r="N233" s="56"/>
      <c r="O233" s="56"/>
      <c r="P233" s="56"/>
      <c r="Q233" s="56"/>
    </row>
    <row r="234" spans="10:17" ht="12.75">
      <c r="J234" s="56"/>
      <c r="K234" s="56"/>
      <c r="L234" s="56"/>
      <c r="M234" s="56"/>
      <c r="N234" s="56"/>
      <c r="O234" s="56"/>
      <c r="P234" s="56"/>
      <c r="Q234" s="56"/>
    </row>
    <row r="235" spans="10:17" ht="12.75">
      <c r="J235" s="56"/>
      <c r="K235" s="56"/>
      <c r="L235" s="56"/>
      <c r="M235" s="56"/>
      <c r="N235" s="56"/>
      <c r="O235" s="56"/>
      <c r="P235" s="56"/>
      <c r="Q235" s="56"/>
    </row>
    <row r="236" spans="10:17" ht="12.75">
      <c r="J236" s="56"/>
      <c r="K236" s="56"/>
      <c r="L236" s="56"/>
      <c r="M236" s="56"/>
      <c r="N236" s="56"/>
      <c r="O236" s="56"/>
      <c r="P236" s="56"/>
      <c r="Q236" s="56"/>
    </row>
    <row r="237" spans="10:17" ht="12.75">
      <c r="J237" s="56"/>
      <c r="K237" s="56"/>
      <c r="L237" s="56"/>
      <c r="M237" s="56"/>
      <c r="N237" s="56"/>
      <c r="O237" s="56"/>
      <c r="P237" s="56"/>
      <c r="Q237" s="56"/>
    </row>
    <row r="238" spans="10:17" ht="12.75">
      <c r="J238" s="56"/>
      <c r="K238" s="56"/>
      <c r="L238" s="56"/>
      <c r="M238" s="56"/>
      <c r="N238" s="56"/>
      <c r="O238" s="56"/>
      <c r="P238" s="56"/>
      <c r="Q238" s="56"/>
    </row>
    <row r="239" spans="10:17" ht="12.75">
      <c r="J239" s="56"/>
      <c r="K239" s="56"/>
      <c r="L239" s="56"/>
      <c r="M239" s="56"/>
      <c r="N239" s="56"/>
      <c r="O239" s="56"/>
      <c r="P239" s="56"/>
      <c r="Q239" s="56"/>
    </row>
    <row r="240" spans="10:17" ht="12.75">
      <c r="J240" s="56"/>
      <c r="K240" s="56"/>
      <c r="L240" s="56"/>
      <c r="M240" s="56"/>
      <c r="N240" s="56"/>
      <c r="O240" s="56"/>
      <c r="P240" s="56"/>
      <c r="Q240" s="56"/>
    </row>
    <row r="241" spans="10:17" ht="12.75">
      <c r="J241" s="56"/>
      <c r="K241" s="56"/>
      <c r="L241" s="56"/>
      <c r="M241" s="56"/>
      <c r="N241" s="56"/>
      <c r="O241" s="56"/>
      <c r="P241" s="56"/>
      <c r="Q241" s="56"/>
    </row>
    <row r="242" spans="10:17" ht="12.75">
      <c r="J242" s="56"/>
      <c r="K242" s="56"/>
      <c r="L242" s="56"/>
      <c r="M242" s="56"/>
      <c r="N242" s="56"/>
      <c r="O242" s="56"/>
      <c r="P242" s="56"/>
      <c r="Q242" s="56"/>
    </row>
    <row r="243" spans="10:17" ht="12.75">
      <c r="J243" s="56"/>
      <c r="K243" s="56"/>
      <c r="L243" s="56"/>
      <c r="M243" s="56"/>
      <c r="N243" s="56"/>
      <c r="O243" s="56"/>
      <c r="P243" s="56"/>
      <c r="Q243" s="56"/>
    </row>
    <row r="244" spans="10:17" ht="12.75">
      <c r="J244" s="56"/>
      <c r="K244" s="56"/>
      <c r="L244" s="56"/>
      <c r="M244" s="56"/>
      <c r="N244" s="56"/>
      <c r="O244" s="56"/>
      <c r="P244" s="56"/>
      <c r="Q244" s="56"/>
    </row>
    <row r="245" spans="10:17" ht="12.75">
      <c r="J245" s="56"/>
      <c r="K245" s="56"/>
      <c r="L245" s="56"/>
      <c r="M245" s="56"/>
      <c r="N245" s="56"/>
      <c r="O245" s="56"/>
      <c r="P245" s="56"/>
      <c r="Q245" s="56"/>
    </row>
    <row r="246" spans="10:17" ht="12.75">
      <c r="J246" s="56"/>
      <c r="K246" s="56"/>
      <c r="L246" s="56"/>
      <c r="M246" s="56"/>
      <c r="N246" s="56"/>
      <c r="O246" s="56"/>
      <c r="P246" s="56"/>
      <c r="Q246" s="56"/>
    </row>
    <row r="247" spans="10:17" ht="12.75">
      <c r="J247" s="56"/>
      <c r="K247" s="56"/>
      <c r="L247" s="56"/>
      <c r="M247" s="56"/>
      <c r="N247" s="56"/>
      <c r="O247" s="56"/>
      <c r="P247" s="56"/>
      <c r="Q247" s="56"/>
    </row>
    <row r="248" spans="10:17" ht="12.75">
      <c r="J248" s="56"/>
      <c r="K248" s="56"/>
      <c r="L248" s="56"/>
      <c r="M248" s="56"/>
      <c r="N248" s="56"/>
      <c r="O248" s="56"/>
      <c r="P248" s="56"/>
      <c r="Q248" s="56"/>
    </row>
    <row r="249" spans="10:17" ht="12.75">
      <c r="J249" s="56"/>
      <c r="K249" s="56"/>
      <c r="L249" s="56"/>
      <c r="M249" s="56"/>
      <c r="N249" s="56"/>
      <c r="O249" s="56"/>
      <c r="P249" s="56"/>
      <c r="Q249" s="56"/>
    </row>
    <row r="250" spans="10:17" ht="12.75">
      <c r="J250" s="56"/>
      <c r="K250" s="56"/>
      <c r="L250" s="56"/>
      <c r="M250" s="56"/>
      <c r="N250" s="56"/>
      <c r="O250" s="56"/>
      <c r="P250" s="56"/>
      <c r="Q250" s="56"/>
    </row>
    <row r="251" spans="10:17" ht="12.75">
      <c r="J251" s="56"/>
      <c r="K251" s="56"/>
      <c r="L251" s="56"/>
      <c r="M251" s="56"/>
      <c r="N251" s="56"/>
      <c r="O251" s="56"/>
      <c r="P251" s="56"/>
      <c r="Q251" s="56"/>
    </row>
    <row r="252" spans="10:17" ht="12.75">
      <c r="J252" s="56"/>
      <c r="K252" s="56"/>
      <c r="L252" s="56"/>
      <c r="M252" s="56"/>
      <c r="N252" s="56"/>
      <c r="O252" s="56"/>
      <c r="P252" s="56"/>
      <c r="Q252" s="56"/>
    </row>
    <row r="253" spans="10:17" ht="12.75">
      <c r="J253" s="56"/>
      <c r="K253" s="56"/>
      <c r="L253" s="56"/>
      <c r="M253" s="56"/>
      <c r="N253" s="56"/>
      <c r="O253" s="56"/>
      <c r="P253" s="56"/>
      <c r="Q253" s="56"/>
    </row>
    <row r="254" spans="10:17" ht="12.75">
      <c r="J254" s="56"/>
      <c r="K254" s="56"/>
      <c r="L254" s="56"/>
      <c r="M254" s="56"/>
      <c r="N254" s="56"/>
      <c r="O254" s="56"/>
      <c r="P254" s="56"/>
      <c r="Q254" s="56"/>
    </row>
    <row r="255" spans="10:17" ht="12.75">
      <c r="J255" s="56"/>
      <c r="K255" s="56"/>
      <c r="L255" s="56"/>
      <c r="M255" s="56"/>
      <c r="N255" s="56"/>
      <c r="O255" s="56"/>
      <c r="P255" s="56"/>
      <c r="Q255" s="56"/>
    </row>
    <row r="256" spans="10:17" ht="12.75">
      <c r="J256" s="56"/>
      <c r="K256" s="56"/>
      <c r="L256" s="56"/>
      <c r="M256" s="56"/>
      <c r="N256" s="56"/>
      <c r="O256" s="56"/>
      <c r="P256" s="56"/>
      <c r="Q256" s="56"/>
    </row>
    <row r="257" spans="10:17" ht="12.75">
      <c r="J257" s="56"/>
      <c r="K257" s="56"/>
      <c r="L257" s="56"/>
      <c r="M257" s="56"/>
      <c r="N257" s="56"/>
      <c r="O257" s="56"/>
      <c r="P257" s="56"/>
      <c r="Q257" s="56"/>
    </row>
    <row r="258" spans="10:17" ht="12.75">
      <c r="J258" s="56"/>
      <c r="K258" s="56"/>
      <c r="L258" s="56"/>
      <c r="M258" s="56"/>
      <c r="N258" s="56"/>
      <c r="O258" s="56"/>
      <c r="P258" s="56"/>
      <c r="Q258" s="56"/>
    </row>
    <row r="259" spans="10:17" ht="12.75">
      <c r="J259" s="56"/>
      <c r="K259" s="56"/>
      <c r="L259" s="56"/>
      <c r="M259" s="56"/>
      <c r="N259" s="56"/>
      <c r="O259" s="56"/>
      <c r="P259" s="56"/>
      <c r="Q259" s="56"/>
    </row>
    <row r="260" spans="10:17" ht="12.75">
      <c r="J260" s="56"/>
      <c r="K260" s="56"/>
      <c r="L260" s="56"/>
      <c r="M260" s="56"/>
      <c r="N260" s="56"/>
      <c r="O260" s="56"/>
      <c r="P260" s="56"/>
      <c r="Q260" s="56"/>
    </row>
    <row r="261" spans="10:17" ht="12.75">
      <c r="J261" s="56"/>
      <c r="K261" s="56"/>
      <c r="L261" s="56"/>
      <c r="M261" s="56"/>
      <c r="N261" s="56"/>
      <c r="O261" s="56"/>
      <c r="P261" s="56"/>
      <c r="Q261" s="56"/>
    </row>
    <row r="262" spans="10:17" ht="12.75">
      <c r="J262" s="56"/>
      <c r="K262" s="56"/>
      <c r="L262" s="56"/>
      <c r="M262" s="56"/>
      <c r="N262" s="56"/>
      <c r="O262" s="56"/>
      <c r="P262" s="56"/>
      <c r="Q262" s="56"/>
    </row>
    <row r="263" spans="10:17" ht="12.75">
      <c r="J263" s="56"/>
      <c r="K263" s="56"/>
      <c r="L263" s="56"/>
      <c r="M263" s="56"/>
      <c r="N263" s="56"/>
      <c r="O263" s="56"/>
      <c r="P263" s="56"/>
      <c r="Q263" s="56"/>
    </row>
    <row r="264" spans="10:17" ht="12.75">
      <c r="J264" s="56"/>
      <c r="K264" s="56"/>
      <c r="L264" s="56"/>
      <c r="M264" s="56"/>
      <c r="N264" s="56"/>
      <c r="O264" s="56"/>
      <c r="P264" s="56"/>
      <c r="Q264" s="56"/>
    </row>
    <row r="265" spans="10:17" ht="12.75">
      <c r="J265" s="56"/>
      <c r="K265" s="56"/>
      <c r="L265" s="56"/>
      <c r="M265" s="56"/>
      <c r="N265" s="56"/>
      <c r="O265" s="56"/>
      <c r="P265" s="56"/>
      <c r="Q265" s="56"/>
    </row>
    <row r="266" spans="10:17" ht="12.75">
      <c r="J266" s="56"/>
      <c r="K266" s="56"/>
      <c r="L266" s="56"/>
      <c r="M266" s="56"/>
      <c r="N266" s="56"/>
      <c r="O266" s="56"/>
      <c r="P266" s="56"/>
      <c r="Q266" s="56"/>
    </row>
    <row r="267" spans="10:17" ht="12.75">
      <c r="J267" s="56"/>
      <c r="K267" s="56"/>
      <c r="L267" s="56"/>
      <c r="M267" s="56"/>
      <c r="N267" s="56"/>
      <c r="O267" s="56"/>
      <c r="P267" s="56"/>
      <c r="Q267" s="56"/>
    </row>
    <row r="268" spans="10:17" ht="12.75">
      <c r="J268" s="56"/>
      <c r="K268" s="56"/>
      <c r="L268" s="56"/>
      <c r="M268" s="56"/>
      <c r="N268" s="56"/>
      <c r="O268" s="56"/>
      <c r="P268" s="56"/>
      <c r="Q268" s="56"/>
    </row>
    <row r="269" spans="10:17" ht="12.75">
      <c r="J269" s="56"/>
      <c r="K269" s="56"/>
      <c r="L269" s="56"/>
      <c r="M269" s="56"/>
      <c r="N269" s="56"/>
      <c r="O269" s="56"/>
      <c r="P269" s="56"/>
      <c r="Q269" s="56"/>
    </row>
    <row r="270" spans="10:17" ht="12.75">
      <c r="J270" s="56"/>
      <c r="K270" s="56"/>
      <c r="L270" s="56"/>
      <c r="M270" s="56"/>
      <c r="N270" s="56"/>
      <c r="O270" s="56"/>
      <c r="P270" s="56"/>
      <c r="Q270" s="56"/>
    </row>
    <row r="271" spans="10:17" ht="12.75">
      <c r="J271" s="56"/>
      <c r="K271" s="56"/>
      <c r="L271" s="56"/>
      <c r="M271" s="56"/>
      <c r="N271" s="56"/>
      <c r="O271" s="56"/>
      <c r="P271" s="56"/>
      <c r="Q271" s="56"/>
    </row>
    <row r="272" spans="10:17" ht="12.75">
      <c r="J272" s="56"/>
      <c r="K272" s="56"/>
      <c r="L272" s="56"/>
      <c r="M272" s="56"/>
      <c r="N272" s="56"/>
      <c r="O272" s="56"/>
      <c r="P272" s="56"/>
      <c r="Q272" s="56"/>
    </row>
    <row r="273" spans="10:17" ht="12.75">
      <c r="J273" s="56"/>
      <c r="K273" s="56"/>
      <c r="L273" s="56"/>
      <c r="M273" s="56"/>
      <c r="N273" s="56"/>
      <c r="O273" s="56"/>
      <c r="P273" s="56"/>
      <c r="Q273" s="56"/>
    </row>
    <row r="274" spans="10:17" ht="12.75">
      <c r="J274" s="56"/>
      <c r="K274" s="56"/>
      <c r="L274" s="56"/>
      <c r="M274" s="56"/>
      <c r="N274" s="56"/>
      <c r="O274" s="56"/>
      <c r="P274" s="56"/>
      <c r="Q274" s="56"/>
    </row>
    <row r="275" spans="10:17" ht="12.75">
      <c r="J275" s="56"/>
      <c r="K275" s="56"/>
      <c r="L275" s="56"/>
      <c r="M275" s="56"/>
      <c r="N275" s="56"/>
      <c r="O275" s="56"/>
      <c r="P275" s="56"/>
      <c r="Q275" s="56"/>
    </row>
    <row r="276" spans="10:17" ht="12.75">
      <c r="J276" s="56"/>
      <c r="K276" s="56"/>
      <c r="L276" s="56"/>
      <c r="M276" s="56"/>
      <c r="N276" s="56"/>
      <c r="O276" s="56"/>
      <c r="P276" s="56"/>
      <c r="Q276" s="56"/>
    </row>
    <row r="277" spans="10:17" ht="12.75">
      <c r="J277" s="56"/>
      <c r="K277" s="56"/>
      <c r="L277" s="56"/>
      <c r="M277" s="56"/>
      <c r="N277" s="56"/>
      <c r="O277" s="56"/>
      <c r="P277" s="56"/>
      <c r="Q277" s="56"/>
    </row>
    <row r="278" spans="10:17" ht="12.75">
      <c r="J278" s="56"/>
      <c r="K278" s="56"/>
      <c r="L278" s="56"/>
      <c r="M278" s="56"/>
      <c r="N278" s="56"/>
      <c r="O278" s="56"/>
      <c r="P278" s="56"/>
      <c r="Q278" s="56"/>
    </row>
    <row r="279" spans="10:17" ht="12.75">
      <c r="J279" s="56"/>
      <c r="K279" s="56"/>
      <c r="L279" s="56"/>
      <c r="M279" s="56"/>
      <c r="N279" s="56"/>
      <c r="O279" s="56"/>
      <c r="P279" s="56"/>
      <c r="Q279" s="56"/>
    </row>
    <row r="280" spans="10:17" ht="12.75">
      <c r="J280" s="56"/>
      <c r="K280" s="56"/>
      <c r="L280" s="56"/>
      <c r="M280" s="56"/>
      <c r="N280" s="56"/>
      <c r="O280" s="56"/>
      <c r="P280" s="56"/>
      <c r="Q280" s="56"/>
    </row>
    <row r="281" spans="10:17" ht="12.75">
      <c r="J281" s="56"/>
      <c r="K281" s="56"/>
      <c r="L281" s="56"/>
      <c r="M281" s="56"/>
      <c r="N281" s="56"/>
      <c r="O281" s="56"/>
      <c r="P281" s="56"/>
      <c r="Q281" s="56"/>
    </row>
    <row r="282" spans="10:17" ht="12.75">
      <c r="J282" s="56"/>
      <c r="K282" s="56"/>
      <c r="L282" s="56"/>
      <c r="M282" s="56"/>
      <c r="N282" s="56"/>
      <c r="O282" s="56"/>
      <c r="P282" s="56"/>
      <c r="Q282" s="56"/>
    </row>
    <row r="283" spans="10:17" ht="12.75">
      <c r="J283" s="56"/>
      <c r="K283" s="56"/>
      <c r="L283" s="56"/>
      <c r="M283" s="56"/>
      <c r="N283" s="56"/>
      <c r="O283" s="56"/>
      <c r="P283" s="56"/>
      <c r="Q283" s="56"/>
    </row>
    <row r="284" spans="10:17" ht="12.75">
      <c r="J284" s="56"/>
      <c r="K284" s="56"/>
      <c r="L284" s="56"/>
      <c r="M284" s="56"/>
      <c r="N284" s="56"/>
      <c r="O284" s="56"/>
      <c r="P284" s="56"/>
      <c r="Q284" s="56"/>
    </row>
    <row r="285" spans="10:17" ht="12.75">
      <c r="J285" s="56"/>
      <c r="K285" s="56"/>
      <c r="L285" s="56"/>
      <c r="M285" s="56"/>
      <c r="N285" s="56"/>
      <c r="O285" s="56"/>
      <c r="P285" s="56"/>
      <c r="Q285" s="56"/>
    </row>
    <row r="286" spans="10:17" ht="12.75">
      <c r="J286" s="56"/>
      <c r="K286" s="56"/>
      <c r="L286" s="56"/>
      <c r="M286" s="56"/>
      <c r="N286" s="56"/>
      <c r="O286" s="56"/>
      <c r="P286" s="56"/>
      <c r="Q286" s="56"/>
    </row>
    <row r="287" spans="10:17" ht="12.75">
      <c r="J287" s="56"/>
      <c r="K287" s="56"/>
      <c r="L287" s="56"/>
      <c r="M287" s="56"/>
      <c r="N287" s="56"/>
      <c r="O287" s="56"/>
      <c r="P287" s="56"/>
      <c r="Q287" s="56"/>
    </row>
    <row r="288" spans="10:17" ht="12.75">
      <c r="J288" s="56"/>
      <c r="K288" s="56"/>
      <c r="L288" s="56"/>
      <c r="M288" s="56"/>
      <c r="N288" s="56"/>
      <c r="O288" s="56"/>
      <c r="P288" s="56"/>
      <c r="Q288" s="56"/>
    </row>
    <row r="289" spans="10:17" ht="12.75">
      <c r="J289" s="56"/>
      <c r="K289" s="56"/>
      <c r="L289" s="56"/>
      <c r="M289" s="56"/>
      <c r="N289" s="56"/>
      <c r="O289" s="56"/>
      <c r="P289" s="56"/>
      <c r="Q289" s="56"/>
    </row>
    <row r="290" spans="10:17" ht="12.75">
      <c r="J290" s="56"/>
      <c r="K290" s="56"/>
      <c r="L290" s="56"/>
      <c r="M290" s="56"/>
      <c r="N290" s="56"/>
      <c r="O290" s="56"/>
      <c r="P290" s="56"/>
      <c r="Q290" s="56"/>
    </row>
    <row r="291" spans="10:17" ht="12.75">
      <c r="J291" s="56"/>
      <c r="K291" s="56"/>
      <c r="L291" s="56"/>
      <c r="M291" s="56"/>
      <c r="N291" s="56"/>
      <c r="O291" s="56"/>
      <c r="P291" s="56"/>
      <c r="Q291" s="56"/>
    </row>
    <row r="292" spans="10:17" ht="12.75">
      <c r="J292" s="56"/>
      <c r="K292" s="56"/>
      <c r="L292" s="56"/>
      <c r="M292" s="56"/>
      <c r="N292" s="56"/>
      <c r="O292" s="56"/>
      <c r="P292" s="56"/>
      <c r="Q292" s="56"/>
    </row>
    <row r="293" spans="10:17" ht="12.75">
      <c r="J293" s="56"/>
      <c r="K293" s="56"/>
      <c r="L293" s="56"/>
      <c r="M293" s="56"/>
      <c r="N293" s="56"/>
      <c r="O293" s="56"/>
      <c r="P293" s="56"/>
      <c r="Q293" s="56"/>
    </row>
    <row r="294" spans="10:17" ht="12.75">
      <c r="J294" s="56"/>
      <c r="K294" s="56"/>
      <c r="L294" s="56"/>
      <c r="M294" s="56"/>
      <c r="N294" s="56"/>
      <c r="O294" s="56"/>
      <c r="P294" s="56"/>
      <c r="Q294" s="56"/>
    </row>
    <row r="295" spans="10:17" ht="12.75">
      <c r="J295" s="56"/>
      <c r="K295" s="56"/>
      <c r="L295" s="56"/>
      <c r="M295" s="56"/>
      <c r="N295" s="56"/>
      <c r="O295" s="56"/>
      <c r="P295" s="56"/>
      <c r="Q295" s="56"/>
    </row>
    <row r="296" spans="10:17" ht="12.75">
      <c r="J296" s="56"/>
      <c r="K296" s="56"/>
      <c r="L296" s="56"/>
      <c r="M296" s="56"/>
      <c r="N296" s="56"/>
      <c r="O296" s="56"/>
      <c r="P296" s="56"/>
      <c r="Q296" s="56"/>
    </row>
    <row r="297" spans="10:17" ht="12.75">
      <c r="J297" s="56"/>
      <c r="K297" s="56"/>
      <c r="L297" s="56"/>
      <c r="M297" s="56"/>
      <c r="N297" s="56"/>
      <c r="O297" s="56"/>
      <c r="P297" s="56"/>
      <c r="Q297" s="56"/>
    </row>
    <row r="298" spans="10:17" ht="12.75">
      <c r="J298" s="56"/>
      <c r="K298" s="56"/>
      <c r="L298" s="56"/>
      <c r="M298" s="56"/>
      <c r="N298" s="56"/>
      <c r="O298" s="56"/>
      <c r="P298" s="56"/>
      <c r="Q298" s="56"/>
    </row>
    <row r="299" spans="10:17" ht="12.75">
      <c r="J299" s="56"/>
      <c r="K299" s="56"/>
      <c r="L299" s="56"/>
      <c r="M299" s="56"/>
      <c r="N299" s="56"/>
      <c r="O299" s="56"/>
      <c r="P299" s="56"/>
      <c r="Q299" s="56"/>
    </row>
    <row r="300" spans="10:17" ht="12.75">
      <c r="J300" s="56"/>
      <c r="K300" s="56"/>
      <c r="L300" s="56"/>
      <c r="M300" s="56"/>
      <c r="N300" s="56"/>
      <c r="O300" s="56"/>
      <c r="P300" s="56"/>
      <c r="Q300" s="56"/>
    </row>
    <row r="301" spans="10:17" ht="12.75">
      <c r="J301" s="56"/>
      <c r="K301" s="56"/>
      <c r="L301" s="56"/>
      <c r="M301" s="56"/>
      <c r="N301" s="56"/>
      <c r="O301" s="56"/>
      <c r="P301" s="56"/>
      <c r="Q301" s="56"/>
    </row>
    <row r="302" spans="10:17" ht="12.75">
      <c r="J302" s="56"/>
      <c r="K302" s="56"/>
      <c r="L302" s="56"/>
      <c r="M302" s="56"/>
      <c r="N302" s="56"/>
      <c r="O302" s="56"/>
      <c r="P302" s="56"/>
      <c r="Q302" s="56"/>
    </row>
  </sheetData>
  <sheetProtection password="C5D6" sheet="1" selectLockedCells="1"/>
  <protectedRanges>
    <protectedRange sqref="C8:C23" name="Input"/>
  </protectedRanges>
  <mergeCells count="8">
    <mergeCell ref="E16:I16"/>
    <mergeCell ref="A1:P1"/>
    <mergeCell ref="A5:C5"/>
    <mergeCell ref="D52:H52"/>
    <mergeCell ref="E17:G17"/>
    <mergeCell ref="B3:P3"/>
    <mergeCell ref="E5:I5"/>
    <mergeCell ref="A25:I25"/>
  </mergeCells>
  <printOptions horizontalCentered="1" verticalCentered="1"/>
  <pageMargins left="0.35" right="0" top="0.5" bottom="0.5" header="0.5" footer="0.5"/>
  <pageSetup fitToHeight="1" fitToWidth="1" horizontalDpi="600" verticalDpi="600" orientation="landscape" scale="75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"/>
  <sheetViews>
    <sheetView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C48" sqref="C48"/>
    </sheetView>
  </sheetViews>
  <sheetFormatPr defaultColWidth="9.140625" defaultRowHeight="12.75"/>
  <cols>
    <col min="1" max="1" width="2.57421875" style="0" customWidth="1"/>
    <col min="2" max="2" width="80.140625" style="0" bestFit="1" customWidth="1"/>
    <col min="3" max="3" width="2.140625" style="0" customWidth="1"/>
    <col min="4" max="4" width="81.00390625" style="61" bestFit="1" customWidth="1"/>
    <col min="5" max="5" width="2.00390625" style="61" customWidth="1"/>
    <col min="6" max="6" width="145.7109375" style="0" customWidth="1"/>
    <col min="7" max="7" width="2.8515625" style="0" customWidth="1"/>
    <col min="8" max="8" width="15.8515625" style="0" customWidth="1"/>
  </cols>
  <sheetData>
    <row r="1" spans="2:3" ht="12.75">
      <c r="B1" s="60"/>
      <c r="C1" s="60"/>
    </row>
    <row r="2" spans="1:7" s="65" customFormat="1" ht="28.5" customHeight="1">
      <c r="A2" s="62"/>
      <c r="B2" s="64" t="s">
        <v>38</v>
      </c>
      <c r="C2" s="63"/>
      <c r="D2" s="64" t="s">
        <v>39</v>
      </c>
      <c r="E2" s="63"/>
      <c r="F2" s="64" t="s">
        <v>40</v>
      </c>
      <c r="G2" s="62"/>
    </row>
    <row r="3" spans="1:7" s="70" customFormat="1" ht="17.25" customHeight="1" thickBot="1">
      <c r="A3" s="66"/>
      <c r="B3" s="192"/>
      <c r="C3" s="67"/>
      <c r="D3" s="68"/>
      <c r="E3" s="67"/>
      <c r="F3" s="69"/>
      <c r="G3" s="66"/>
    </row>
    <row r="4" spans="1:7" s="77" customFormat="1" ht="45" customHeight="1" thickBot="1">
      <c r="A4" s="71"/>
      <c r="B4" s="72" t="s">
        <v>111</v>
      </c>
      <c r="C4" s="73"/>
      <c r="D4" s="74" t="s">
        <v>41</v>
      </c>
      <c r="E4" s="75"/>
      <c r="F4" s="76" t="s">
        <v>42</v>
      </c>
      <c r="G4" s="71"/>
    </row>
    <row r="5" spans="1:7" s="77" customFormat="1" ht="17.25" customHeight="1" thickBot="1">
      <c r="A5" s="71"/>
      <c r="B5" s="176"/>
      <c r="C5" s="175"/>
      <c r="D5" s="177"/>
      <c r="E5" s="173"/>
      <c r="F5" s="172"/>
      <c r="G5" s="71"/>
    </row>
    <row r="6" spans="1:7" s="77" customFormat="1" ht="30.75" customHeight="1">
      <c r="A6" s="71"/>
      <c r="B6" s="78"/>
      <c r="C6" s="79"/>
      <c r="D6" s="80" t="s">
        <v>43</v>
      </c>
      <c r="E6" s="81"/>
      <c r="F6" s="82" t="s">
        <v>44</v>
      </c>
      <c r="G6" s="71"/>
    </row>
    <row r="7" spans="1:7" s="77" customFormat="1" ht="20.25">
      <c r="A7" s="71"/>
      <c r="B7" s="83"/>
      <c r="C7" s="175"/>
      <c r="D7" s="191"/>
      <c r="E7" s="178"/>
      <c r="F7" s="84" t="s">
        <v>45</v>
      </c>
      <c r="G7" s="71"/>
    </row>
    <row r="8" spans="1:7" s="77" customFormat="1" ht="27" customHeight="1">
      <c r="A8" s="71"/>
      <c r="B8" s="85" t="s">
        <v>46</v>
      </c>
      <c r="C8" s="185"/>
      <c r="D8" s="184" t="s">
        <v>47</v>
      </c>
      <c r="E8" s="178"/>
      <c r="F8" s="86" t="s">
        <v>47</v>
      </c>
      <c r="G8" s="71"/>
    </row>
    <row r="9" spans="1:7" s="77" customFormat="1" ht="20.25">
      <c r="A9" s="71"/>
      <c r="B9" s="83"/>
      <c r="C9" s="175"/>
      <c r="D9" s="183" t="s">
        <v>48</v>
      </c>
      <c r="E9" s="178"/>
      <c r="F9" s="87" t="s">
        <v>49</v>
      </c>
      <c r="G9" s="71"/>
    </row>
    <row r="10" spans="1:7" s="77" customFormat="1" ht="21" thickBot="1">
      <c r="A10" s="71"/>
      <c r="B10" s="88"/>
      <c r="C10" s="89"/>
      <c r="D10" s="90"/>
      <c r="E10" s="91"/>
      <c r="F10" s="92" t="s">
        <v>79</v>
      </c>
      <c r="G10" s="71"/>
    </row>
    <row r="11" spans="1:7" s="77" customFormat="1" ht="17.25" customHeight="1" thickBot="1">
      <c r="A11" s="71"/>
      <c r="B11" s="176"/>
      <c r="C11" s="175"/>
      <c r="D11" s="177"/>
      <c r="E11" s="173"/>
      <c r="F11" s="172"/>
      <c r="G11" s="71"/>
    </row>
    <row r="12" spans="1:7" s="77" customFormat="1" ht="28.5" customHeight="1">
      <c r="A12" s="71"/>
      <c r="B12" s="93"/>
      <c r="C12" s="79"/>
      <c r="D12" s="94" t="s">
        <v>43</v>
      </c>
      <c r="E12" s="81"/>
      <c r="F12" s="95" t="s">
        <v>50</v>
      </c>
      <c r="G12" s="71"/>
    </row>
    <row r="13" spans="1:7" s="77" customFormat="1" ht="27" customHeight="1">
      <c r="A13" s="71"/>
      <c r="B13" s="96" t="s">
        <v>51</v>
      </c>
      <c r="C13" s="185"/>
      <c r="D13" s="190" t="s">
        <v>47</v>
      </c>
      <c r="E13" s="178"/>
      <c r="F13" s="97" t="s">
        <v>47</v>
      </c>
      <c r="G13" s="71"/>
    </row>
    <row r="14" spans="1:7" s="77" customFormat="1" ht="20.25">
      <c r="A14" s="71"/>
      <c r="B14" s="98"/>
      <c r="C14" s="175"/>
      <c r="D14" s="189" t="s">
        <v>48</v>
      </c>
      <c r="E14" s="178"/>
      <c r="F14" s="99" t="s">
        <v>52</v>
      </c>
      <c r="G14" s="71"/>
    </row>
    <row r="15" spans="1:7" s="77" customFormat="1" ht="41.25" thickBot="1">
      <c r="A15" s="71"/>
      <c r="B15" s="100"/>
      <c r="C15" s="89"/>
      <c r="D15" s="101"/>
      <c r="E15" s="102"/>
      <c r="F15" s="103" t="s">
        <v>53</v>
      </c>
      <c r="G15" s="71"/>
    </row>
    <row r="16" spans="1:7" s="77" customFormat="1" ht="17.25" customHeight="1" thickBot="1">
      <c r="A16" s="71"/>
      <c r="B16" s="176"/>
      <c r="C16" s="175"/>
      <c r="D16" s="177"/>
      <c r="E16" s="173"/>
      <c r="F16" s="188"/>
      <c r="G16" s="71"/>
    </row>
    <row r="17" spans="1:7" s="77" customFormat="1" ht="32.25" customHeight="1">
      <c r="A17" s="71"/>
      <c r="B17" s="104"/>
      <c r="C17" s="79"/>
      <c r="D17" s="105" t="s">
        <v>43</v>
      </c>
      <c r="E17" s="81"/>
      <c r="F17" s="106" t="s">
        <v>54</v>
      </c>
      <c r="G17" s="71"/>
    </row>
    <row r="18" spans="1:7" s="77" customFormat="1" ht="27" customHeight="1">
      <c r="A18" s="71"/>
      <c r="B18" s="107" t="s">
        <v>55</v>
      </c>
      <c r="C18" s="185"/>
      <c r="D18" s="187" t="s">
        <v>47</v>
      </c>
      <c r="E18" s="178"/>
      <c r="F18" s="108" t="s">
        <v>47</v>
      </c>
      <c r="G18" s="71"/>
    </row>
    <row r="19" spans="1:7" s="77" customFormat="1" ht="20.25">
      <c r="A19" s="71"/>
      <c r="B19" s="109"/>
      <c r="C19" s="175"/>
      <c r="D19" s="186" t="s">
        <v>48</v>
      </c>
      <c r="E19" s="178"/>
      <c r="F19" s="110" t="s">
        <v>56</v>
      </c>
      <c r="G19" s="71"/>
    </row>
    <row r="20" spans="1:7" s="77" customFormat="1" ht="41.25" thickBot="1">
      <c r="A20" s="71"/>
      <c r="B20" s="111"/>
      <c r="C20" s="89"/>
      <c r="D20" s="112"/>
      <c r="E20" s="102"/>
      <c r="F20" s="113" t="s">
        <v>57</v>
      </c>
      <c r="G20" s="71"/>
    </row>
    <row r="21" spans="1:7" s="77" customFormat="1" ht="17.25" customHeight="1" thickBot="1">
      <c r="A21" s="71"/>
      <c r="B21" s="176"/>
      <c r="C21" s="175"/>
      <c r="D21" s="177"/>
      <c r="E21" s="173"/>
      <c r="F21" s="172"/>
      <c r="G21" s="71"/>
    </row>
    <row r="22" spans="1:7" s="77" customFormat="1" ht="32.25" customHeight="1">
      <c r="A22" s="71"/>
      <c r="B22" s="78"/>
      <c r="C22" s="79"/>
      <c r="D22" s="80" t="s">
        <v>43</v>
      </c>
      <c r="E22" s="81"/>
      <c r="F22" s="82" t="s">
        <v>54</v>
      </c>
      <c r="G22" s="71"/>
    </row>
    <row r="23" spans="1:7" s="77" customFormat="1" ht="27" customHeight="1">
      <c r="A23" s="71"/>
      <c r="B23" s="85" t="s">
        <v>58</v>
      </c>
      <c r="C23" s="185"/>
      <c r="D23" s="184" t="s">
        <v>47</v>
      </c>
      <c r="E23" s="178"/>
      <c r="F23" s="86" t="s">
        <v>47</v>
      </c>
      <c r="G23" s="71"/>
    </row>
    <row r="24" spans="1:7" s="77" customFormat="1" ht="20.25">
      <c r="A24" s="71"/>
      <c r="B24" s="83"/>
      <c r="C24" s="175"/>
      <c r="D24" s="183" t="s">
        <v>48</v>
      </c>
      <c r="E24" s="178"/>
      <c r="F24" s="87" t="s">
        <v>59</v>
      </c>
      <c r="G24" s="71"/>
    </row>
    <row r="25" spans="1:7" s="77" customFormat="1" ht="41.25" thickBot="1">
      <c r="A25" s="71"/>
      <c r="B25" s="88"/>
      <c r="C25" s="89"/>
      <c r="D25" s="114"/>
      <c r="E25" s="102"/>
      <c r="F25" s="115" t="s">
        <v>60</v>
      </c>
      <c r="G25" s="71"/>
    </row>
    <row r="26" spans="1:7" s="77" customFormat="1" ht="17.25" customHeight="1" thickBot="1">
      <c r="A26" s="71"/>
      <c r="B26" s="176"/>
      <c r="C26" s="175"/>
      <c r="D26" s="177"/>
      <c r="E26" s="173"/>
      <c r="F26" s="172"/>
      <c r="G26" s="71"/>
    </row>
    <row r="27" spans="1:7" s="77" customFormat="1" ht="45" customHeight="1" thickBot="1">
      <c r="A27" s="71"/>
      <c r="B27" s="116" t="s">
        <v>61</v>
      </c>
      <c r="C27" s="117"/>
      <c r="D27" s="118" t="s">
        <v>41</v>
      </c>
      <c r="E27" s="75"/>
      <c r="F27" s="119" t="s">
        <v>62</v>
      </c>
      <c r="G27" s="71"/>
    </row>
    <row r="28" spans="1:7" s="70" customFormat="1" ht="17.25" customHeight="1" thickBot="1">
      <c r="A28" s="66"/>
      <c r="B28" s="182"/>
      <c r="C28" s="181"/>
      <c r="D28" s="180"/>
      <c r="E28" s="179"/>
      <c r="F28" s="172"/>
      <c r="G28" s="66"/>
    </row>
    <row r="29" spans="1:7" s="77" customFormat="1" ht="45" customHeight="1" thickBot="1">
      <c r="A29" s="71"/>
      <c r="B29" s="72" t="s">
        <v>63</v>
      </c>
      <c r="C29" s="117"/>
      <c r="D29" s="74" t="s">
        <v>41</v>
      </c>
      <c r="E29" s="75"/>
      <c r="F29" s="120" t="s">
        <v>64</v>
      </c>
      <c r="G29" s="71"/>
    </row>
    <row r="30" spans="1:7" s="77" customFormat="1" ht="17.25" customHeight="1" thickBot="1">
      <c r="A30" s="71"/>
      <c r="B30" s="176"/>
      <c r="C30" s="175"/>
      <c r="D30" s="174"/>
      <c r="E30" s="178"/>
      <c r="F30" s="172"/>
      <c r="G30" s="71"/>
    </row>
    <row r="31" spans="1:7" s="77" customFormat="1" ht="45" customHeight="1" thickBot="1">
      <c r="A31" s="71"/>
      <c r="B31" s="121" t="s">
        <v>65</v>
      </c>
      <c r="C31" s="117"/>
      <c r="D31" s="122" t="s">
        <v>41</v>
      </c>
      <c r="E31" s="75"/>
      <c r="F31" s="123" t="s">
        <v>66</v>
      </c>
      <c r="G31" s="71"/>
    </row>
    <row r="32" spans="1:7" s="77" customFormat="1" ht="17.25" customHeight="1" thickBot="1">
      <c r="A32" s="71"/>
      <c r="B32" s="176"/>
      <c r="C32" s="175"/>
      <c r="D32" s="174"/>
      <c r="E32" s="178"/>
      <c r="F32" s="172"/>
      <c r="G32" s="71"/>
    </row>
    <row r="33" spans="1:7" s="77" customFormat="1" ht="45" customHeight="1" thickBot="1">
      <c r="A33" s="71"/>
      <c r="B33" s="116" t="s">
        <v>67</v>
      </c>
      <c r="C33" s="117"/>
      <c r="D33" s="124" t="s">
        <v>68</v>
      </c>
      <c r="E33" s="75"/>
      <c r="F33" s="125" t="s">
        <v>69</v>
      </c>
      <c r="G33" s="71"/>
    </row>
    <row r="34" spans="1:7" s="77" customFormat="1" ht="17.25" customHeight="1" thickBot="1">
      <c r="A34" s="71"/>
      <c r="B34" s="176"/>
      <c r="C34" s="175"/>
      <c r="D34" s="174"/>
      <c r="E34" s="178"/>
      <c r="F34" s="172"/>
      <c r="G34" s="71"/>
    </row>
    <row r="35" spans="1:7" s="77" customFormat="1" ht="45" customHeight="1" thickBot="1">
      <c r="A35" s="71"/>
      <c r="B35" s="72" t="s">
        <v>70</v>
      </c>
      <c r="C35" s="117"/>
      <c r="D35" s="74" t="s">
        <v>41</v>
      </c>
      <c r="E35" s="75"/>
      <c r="F35" s="120" t="s">
        <v>71</v>
      </c>
      <c r="G35" s="71"/>
    </row>
    <row r="36" spans="1:7" s="77" customFormat="1" ht="17.25" customHeight="1" thickBot="1">
      <c r="A36" s="71"/>
      <c r="B36" s="176"/>
      <c r="C36" s="175"/>
      <c r="D36" s="177"/>
      <c r="E36" s="173"/>
      <c r="F36" s="172"/>
      <c r="G36" s="71"/>
    </row>
    <row r="37" spans="1:7" s="77" customFormat="1" ht="45" customHeight="1" thickBot="1">
      <c r="A37" s="71"/>
      <c r="B37" s="121" t="s">
        <v>72</v>
      </c>
      <c r="C37" s="117"/>
      <c r="D37" s="122" t="s">
        <v>41</v>
      </c>
      <c r="E37" s="126"/>
      <c r="F37" s="123" t="s">
        <v>73</v>
      </c>
      <c r="G37" s="71"/>
    </row>
    <row r="38" spans="1:7" s="77" customFormat="1" ht="17.25" customHeight="1" thickBot="1">
      <c r="A38" s="71"/>
      <c r="B38" s="176"/>
      <c r="C38" s="175"/>
      <c r="D38" s="174"/>
      <c r="E38" s="173"/>
      <c r="F38" s="172"/>
      <c r="G38" s="71"/>
    </row>
    <row r="39" spans="1:7" s="77" customFormat="1" ht="45" customHeight="1" thickBot="1">
      <c r="A39" s="71"/>
      <c r="B39" s="116" t="s">
        <v>74</v>
      </c>
      <c r="C39" s="117"/>
      <c r="D39" s="118" t="s">
        <v>41</v>
      </c>
      <c r="E39" s="126"/>
      <c r="F39" s="119" t="s">
        <v>75</v>
      </c>
      <c r="G39" s="71"/>
    </row>
    <row r="40" spans="1:7" s="77" customFormat="1" ht="17.25" customHeight="1" thickBot="1">
      <c r="A40" s="71"/>
      <c r="B40" s="176"/>
      <c r="C40" s="175"/>
      <c r="D40" s="174"/>
      <c r="E40" s="173"/>
      <c r="F40" s="172"/>
      <c r="G40" s="71"/>
    </row>
    <row r="41" spans="1:7" s="77" customFormat="1" ht="45" customHeight="1" thickBot="1">
      <c r="A41" s="71"/>
      <c r="B41" s="72" t="s">
        <v>76</v>
      </c>
      <c r="C41" s="117"/>
      <c r="D41" s="74" t="s">
        <v>41</v>
      </c>
      <c r="E41" s="126"/>
      <c r="F41" s="120" t="s">
        <v>71</v>
      </c>
      <c r="G41" s="71"/>
    </row>
    <row r="42" spans="1:7" s="77" customFormat="1" ht="17.25" customHeight="1" thickBot="1">
      <c r="A42" s="71"/>
      <c r="B42" s="176"/>
      <c r="C42" s="175"/>
      <c r="D42" s="174"/>
      <c r="E42" s="173"/>
      <c r="F42" s="172"/>
      <c r="G42" s="71"/>
    </row>
    <row r="43" spans="1:7" s="77" customFormat="1" ht="45" customHeight="1" thickBot="1">
      <c r="A43" s="71"/>
      <c r="B43" s="121" t="s">
        <v>77</v>
      </c>
      <c r="C43" s="117"/>
      <c r="D43" s="122" t="s">
        <v>41</v>
      </c>
      <c r="E43" s="126"/>
      <c r="F43" s="123" t="s">
        <v>78</v>
      </c>
      <c r="G43" s="71"/>
    </row>
    <row r="44" spans="1:7" s="77" customFormat="1" ht="17.25" customHeight="1" thickBot="1">
      <c r="A44" s="160"/>
      <c r="B44" s="170"/>
      <c r="C44" s="168"/>
      <c r="D44" s="171"/>
      <c r="E44" s="166"/>
      <c r="F44" s="170"/>
      <c r="G44" s="160"/>
    </row>
    <row r="45" spans="1:7" s="77" customFormat="1" ht="102" thickBot="1">
      <c r="A45" s="160"/>
      <c r="B45" s="169" t="s">
        <v>110</v>
      </c>
      <c r="C45" s="168"/>
      <c r="D45" s="167" t="s">
        <v>109</v>
      </c>
      <c r="E45" s="166"/>
      <c r="F45" s="165" t="s">
        <v>108</v>
      </c>
      <c r="G45" s="160"/>
    </row>
    <row r="46" spans="1:7" s="77" customFormat="1" ht="20.25">
      <c r="A46" s="160"/>
      <c r="B46" s="164"/>
      <c r="C46" s="163"/>
      <c r="D46" s="162"/>
      <c r="E46" s="162"/>
      <c r="F46" s="161"/>
      <c r="G46" s="160"/>
    </row>
    <row r="47" spans="2:6" s="77" customFormat="1" ht="20.25">
      <c r="B47" s="159"/>
      <c r="C47" s="158"/>
      <c r="D47" s="157"/>
      <c r="E47" s="157"/>
      <c r="F47" s="156"/>
    </row>
    <row r="48" spans="2:6" s="77" customFormat="1" ht="20.25">
      <c r="B48" s="159"/>
      <c r="C48" s="158"/>
      <c r="D48" s="157"/>
      <c r="E48" s="157"/>
      <c r="F48" s="156"/>
    </row>
    <row r="49" spans="2:6" s="77" customFormat="1" ht="20.25">
      <c r="B49" s="159"/>
      <c r="C49" s="158"/>
      <c r="D49" s="157"/>
      <c r="E49" s="157"/>
      <c r="F49" s="156"/>
    </row>
    <row r="50" spans="2:6" s="77" customFormat="1" ht="20.25">
      <c r="B50" s="159"/>
      <c r="C50" s="158"/>
      <c r="D50" s="157"/>
      <c r="E50" s="157"/>
      <c r="F50" s="156"/>
    </row>
    <row r="51" spans="2:6" s="77" customFormat="1" ht="20.25">
      <c r="B51" s="159"/>
      <c r="C51" s="158"/>
      <c r="D51" s="157"/>
      <c r="E51" s="157"/>
      <c r="F51" s="156"/>
    </row>
    <row r="52" spans="2:6" s="77" customFormat="1" ht="20.25">
      <c r="B52" s="159"/>
      <c r="C52" s="158"/>
      <c r="D52" s="157"/>
      <c r="E52" s="157"/>
      <c r="F52" s="156"/>
    </row>
    <row r="53" spans="2:6" s="70" customFormat="1" ht="15.75">
      <c r="B53" s="69"/>
      <c r="C53" s="154"/>
      <c r="D53" s="153"/>
      <c r="E53" s="153"/>
      <c r="F53" s="155"/>
    </row>
    <row r="54" spans="2:6" s="70" customFormat="1" ht="15.75">
      <c r="B54" s="69"/>
      <c r="C54" s="154"/>
      <c r="D54" s="153"/>
      <c r="E54" s="153"/>
      <c r="F54" s="155"/>
    </row>
    <row r="55" spans="2:6" s="70" customFormat="1" ht="15.75">
      <c r="B55" s="69"/>
      <c r="C55" s="154"/>
      <c r="D55" s="153"/>
      <c r="E55" s="153"/>
      <c r="F55" s="155"/>
    </row>
    <row r="56" spans="2:6" s="70" customFormat="1" ht="15.75">
      <c r="B56" s="69"/>
      <c r="C56" s="154"/>
      <c r="D56" s="153"/>
      <c r="E56" s="153"/>
      <c r="F56" s="155"/>
    </row>
    <row r="57" spans="2:6" s="70" customFormat="1" ht="15.75">
      <c r="B57" s="69"/>
      <c r="C57" s="154"/>
      <c r="D57" s="153"/>
      <c r="E57" s="153"/>
      <c r="F57" s="155"/>
    </row>
    <row r="58" spans="2:5" s="70" customFormat="1" ht="15.75">
      <c r="B58" s="69"/>
      <c r="C58" s="154"/>
      <c r="D58" s="153"/>
      <c r="E58" s="153"/>
    </row>
    <row r="59" spans="2:5" s="70" customFormat="1" ht="15.75">
      <c r="B59" s="69"/>
      <c r="C59" s="154"/>
      <c r="D59" s="153"/>
      <c r="E59" s="153"/>
    </row>
    <row r="60" spans="2:5" s="70" customFormat="1" ht="15.75">
      <c r="B60" s="69"/>
      <c r="C60" s="154"/>
      <c r="D60" s="153"/>
      <c r="E60" s="153"/>
    </row>
    <row r="61" spans="2:5" s="70" customFormat="1" ht="15.75">
      <c r="B61" s="69"/>
      <c r="C61" s="154"/>
      <c r="D61" s="153"/>
      <c r="E61" s="153"/>
    </row>
    <row r="62" spans="2:5" s="70" customFormat="1" ht="15.75">
      <c r="B62" s="69"/>
      <c r="C62" s="154"/>
      <c r="D62" s="153"/>
      <c r="E62" s="153"/>
    </row>
    <row r="63" spans="2:5" s="70" customFormat="1" ht="15.75">
      <c r="B63" s="69"/>
      <c r="C63" s="154"/>
      <c r="D63" s="153"/>
      <c r="E63" s="153"/>
    </row>
    <row r="64" spans="2:5" s="70" customFormat="1" ht="15.75">
      <c r="B64" s="69"/>
      <c r="C64" s="154"/>
      <c r="D64" s="153"/>
      <c r="E64" s="153"/>
    </row>
    <row r="65" spans="2:5" s="70" customFormat="1" ht="15.75">
      <c r="B65" s="154"/>
      <c r="C65" s="154"/>
      <c r="D65" s="153"/>
      <c r="E65" s="153"/>
    </row>
    <row r="66" spans="2:5" s="70" customFormat="1" ht="15.75">
      <c r="B66" s="154"/>
      <c r="C66" s="154"/>
      <c r="D66" s="153"/>
      <c r="E66" s="153"/>
    </row>
    <row r="67" spans="4:5" s="70" customFormat="1" ht="15.75">
      <c r="D67" s="153"/>
      <c r="E67" s="153"/>
    </row>
    <row r="68" spans="4:5" s="70" customFormat="1" ht="15.75">
      <c r="D68" s="153"/>
      <c r="E68" s="153"/>
    </row>
    <row r="69" spans="4:5" s="70" customFormat="1" ht="15.75">
      <c r="D69" s="153"/>
      <c r="E69" s="153"/>
    </row>
    <row r="70" spans="4:5" s="70" customFormat="1" ht="15.75">
      <c r="D70" s="153"/>
      <c r="E70" s="153"/>
    </row>
    <row r="71" spans="4:5" s="70" customFormat="1" ht="15.75">
      <c r="D71" s="153"/>
      <c r="E71" s="153"/>
    </row>
    <row r="72" spans="4:5" s="70" customFormat="1" ht="15.75">
      <c r="D72" s="153"/>
      <c r="E72" s="153"/>
    </row>
    <row r="73" spans="4:5" s="70" customFormat="1" ht="15.75">
      <c r="D73" s="153"/>
      <c r="E73" s="153"/>
    </row>
    <row r="74" spans="4:5" s="70" customFormat="1" ht="15.75">
      <c r="D74" s="153"/>
      <c r="E74" s="153"/>
    </row>
    <row r="75" spans="4:5" s="70" customFormat="1" ht="15.75">
      <c r="D75" s="153"/>
      <c r="E75" s="153"/>
    </row>
    <row r="76" spans="4:5" s="70" customFormat="1" ht="15.75">
      <c r="D76" s="153"/>
      <c r="E76" s="153"/>
    </row>
    <row r="77" spans="4:5" s="70" customFormat="1" ht="15.75">
      <c r="D77" s="153"/>
      <c r="E77" s="153"/>
    </row>
    <row r="78" spans="4:5" s="70" customFormat="1" ht="15">
      <c r="D78" s="68"/>
      <c r="E78" s="68"/>
    </row>
    <row r="79" spans="4:5" s="70" customFormat="1" ht="15">
      <c r="D79" s="68"/>
      <c r="E79" s="68"/>
    </row>
    <row r="80" spans="4:5" s="70" customFormat="1" ht="15">
      <c r="D80" s="68"/>
      <c r="E80" s="68"/>
    </row>
    <row r="81" spans="4:5" s="70" customFormat="1" ht="15">
      <c r="D81" s="68"/>
      <c r="E81" s="68"/>
    </row>
    <row r="82" spans="4:6" ht="15">
      <c r="D82" s="68"/>
      <c r="E82" s="68"/>
      <c r="F82" s="70"/>
    </row>
    <row r="83" spans="4:6" ht="15">
      <c r="D83" s="68"/>
      <c r="E83" s="68"/>
      <c r="F83" s="70"/>
    </row>
    <row r="84" spans="4:6" ht="15">
      <c r="D84" s="68"/>
      <c r="E84" s="68"/>
      <c r="F84" s="70"/>
    </row>
    <row r="85" spans="4:6" ht="15">
      <c r="D85" s="68"/>
      <c r="E85" s="68"/>
      <c r="F85" s="70"/>
    </row>
    <row r="86" spans="4:6" ht="15">
      <c r="D86" s="68"/>
      <c r="E86" s="68"/>
      <c r="F86" s="70"/>
    </row>
    <row r="87" spans="4:6" ht="15">
      <c r="D87" s="68"/>
      <c r="E87" s="68"/>
      <c r="F87" s="70"/>
    </row>
    <row r="88" spans="4:6" ht="15">
      <c r="D88" s="68"/>
      <c r="E88" s="68"/>
      <c r="F88" s="70"/>
    </row>
    <row r="89" spans="4:6" ht="15">
      <c r="D89" s="68"/>
      <c r="E89" s="68"/>
      <c r="F89" s="70"/>
    </row>
    <row r="90" spans="4:6" ht="15">
      <c r="D90" s="68"/>
      <c r="E90" s="68"/>
      <c r="F90" s="70"/>
    </row>
    <row r="91" spans="4:6" ht="15">
      <c r="D91" s="68"/>
      <c r="E91" s="68"/>
      <c r="F91" s="70"/>
    </row>
    <row r="92" spans="4:6" ht="15">
      <c r="D92" s="68"/>
      <c r="E92" s="68"/>
      <c r="F92" s="70"/>
    </row>
    <row r="93" spans="4:6" ht="15">
      <c r="D93" s="68"/>
      <c r="E93" s="68"/>
      <c r="F93" s="70"/>
    </row>
    <row r="94" spans="4:6" ht="15">
      <c r="D94" s="68"/>
      <c r="E94" s="68"/>
      <c r="F94" s="70"/>
    </row>
    <row r="95" spans="4:6" ht="15">
      <c r="D95" s="68"/>
      <c r="E95" s="68"/>
      <c r="F95" s="70"/>
    </row>
    <row r="96" spans="4:6" ht="15">
      <c r="D96" s="68"/>
      <c r="E96" s="68"/>
      <c r="F96" s="70"/>
    </row>
    <row r="97" spans="4:6" ht="15">
      <c r="D97" s="68"/>
      <c r="E97" s="68"/>
      <c r="F97" s="70"/>
    </row>
    <row r="98" spans="4:6" ht="15">
      <c r="D98" s="68"/>
      <c r="E98" s="68"/>
      <c r="F98" s="70"/>
    </row>
    <row r="99" spans="4:6" ht="15">
      <c r="D99" s="68"/>
      <c r="E99" s="68"/>
      <c r="F99" s="70"/>
    </row>
  </sheetData>
  <sheetProtection/>
  <printOptions/>
  <pageMargins left="0.37" right="0" top="0.64" bottom="0" header="0.19" footer="0.19"/>
  <pageSetup horizontalDpi="600" verticalDpi="600" orientation="landscape" scale="41" r:id="rId1"/>
  <headerFooter alignWithMargins="0">
    <oddHeader>&amp;C&amp;"Palatino Linotype,Bold"&amp;36DDVC Calculator - Input Data Section&amp;"Arial,Regular"&amp;10
&amp;"Palatino Linotype,Regular"&amp;18(DDVC's are calculated on a daily basis)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DDVC Calculator and Input Guide</dc:title>
  <dc:subject/>
  <dc:creator>RADL</dc:creator>
  <cp:keywords/>
  <dc:description/>
  <cp:lastModifiedBy>Winckowski, Danielle (Northern Natural Gas)</cp:lastModifiedBy>
  <cp:lastPrinted>2021-08-02T17:57:49Z</cp:lastPrinted>
  <dcterms:created xsi:type="dcterms:W3CDTF">1998-08-19T20:47:25Z</dcterms:created>
  <dcterms:modified xsi:type="dcterms:W3CDTF">2024-03-07T16:52:48Z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temRetentionFormula">
    <vt:lpwstr>&lt;formula id="Microsoft.Office.RecordsManagement.PolicyFeatures.Expiration.Formula.BuiltIn"&gt;&lt;number&gt;0&lt;/number&gt;&lt;property&gt;EndPostDate&lt;/property&gt;&lt;propertyId&gt;22badabc-63b1-478b-b9db-1c4b0e543486&lt;/propertyId&gt;&lt;period&gt;days&lt;/period&gt;&lt;/formula&gt;</vt:lpwstr>
  </property>
  <property fmtid="{D5CDD505-2E9C-101B-9397-08002B2CF9AE}" pid="3" name="_dlc_policyId">
    <vt:lpwstr/>
  </property>
  <property fmtid="{D5CDD505-2E9C-101B-9397-08002B2CF9AE}" pid="4" name="NavGroup">
    <vt:lpwstr/>
  </property>
  <property fmtid="{D5CDD505-2E9C-101B-9397-08002B2CF9AE}" pid="5" name="Document Owner">
    <vt:lpwstr>143</vt:lpwstr>
  </property>
  <property fmtid="{D5CDD505-2E9C-101B-9397-08002B2CF9AE}" pid="6" name="Document Category">
    <vt:lpwstr>207</vt:lpwstr>
  </property>
  <property fmtid="{D5CDD505-2E9C-101B-9397-08002B2CF9AE}" pid="7" name="DocumentDescription">
    <vt:lpwstr>The DDVC calculator provides customers an opportunity to create an example of how to determine a delivery point variance between scheduled and actual flow. The secondary tab identifies the supporting documents.</vt:lpwstr>
  </property>
  <property fmtid="{D5CDD505-2E9C-101B-9397-08002B2CF9AE}" pid="8" name="Department">
    <vt:lpwstr>3</vt:lpwstr>
  </property>
  <property fmtid="{D5CDD505-2E9C-101B-9397-08002B2CF9AE}" pid="9" name="display_urn:schemas-microsoft-com:office:office#Document_x0020_Owner">
    <vt:lpwstr>Wilkens, Jerry (Northern Natural Gas)</vt:lpwstr>
  </property>
  <property fmtid="{D5CDD505-2E9C-101B-9397-08002B2CF9AE}" pid="10" name="BeginPostDate">
    <vt:lpwstr>2024-03-07T11:30:00Z</vt:lpwstr>
  </property>
  <property fmtid="{D5CDD505-2E9C-101B-9397-08002B2CF9AE}" pid="11" name="EndPostDate">
    <vt:lpwstr>2999-12-31T17:00:00Z</vt:lpwstr>
  </property>
  <property fmtid="{D5CDD505-2E9C-101B-9397-08002B2CF9AE}" pid="12" name="MoveToInitiate">
    <vt:lpwstr>true</vt:lpwstr>
  </property>
  <property fmtid="{D5CDD505-2E9C-101B-9397-08002B2CF9AE}" pid="13" name="Rate Info">
    <vt:lpwstr>Yes</vt:lpwstr>
  </property>
  <property fmtid="{D5CDD505-2E9C-101B-9397-08002B2CF9AE}" pid="14" name="CommentsHistory">
    <vt:lpwstr/>
  </property>
  <property fmtid="{D5CDD505-2E9C-101B-9397-08002B2CF9AE}" pid="15" name="PostingStatus">
    <vt:lpwstr>Initiate</vt:lpwstr>
  </property>
  <property fmtid="{D5CDD505-2E9C-101B-9397-08002B2CF9AE}" pid="16" name="Expired Date">
    <vt:lpwstr/>
  </property>
  <property fmtid="{D5CDD505-2E9C-101B-9397-08002B2CF9AE}" pid="17" name="Requested Date">
    <vt:lpwstr/>
  </property>
  <property fmtid="{D5CDD505-2E9C-101B-9397-08002B2CF9AE}" pid="18" name="Post Date">
    <vt:lpwstr>2023-05-26T11:05:11Z</vt:lpwstr>
  </property>
  <property fmtid="{D5CDD505-2E9C-101B-9397-08002B2CF9AE}" pid="19" name="Doc ID">
    <vt:lpwstr/>
  </property>
  <property fmtid="{D5CDD505-2E9C-101B-9397-08002B2CF9AE}" pid="20" name="Unresolved User ID">
    <vt:lpwstr/>
  </property>
  <property fmtid="{D5CDD505-2E9C-101B-9397-08002B2CF9AE}" pid="21" name="_dlc_ExpireDate">
    <vt:lpwstr>2999-12-31T17:00:00Z</vt:lpwstr>
  </property>
  <property fmtid="{D5CDD505-2E9C-101B-9397-08002B2CF9AE}" pid="22" name="WorkflowHistory">
    <vt:lpwstr>5/26/2023 11:03:00 AM - WorkflowStarted - Muhr, Donald (Northern Natural Gas) - Admin approval workflow was started. - Workflow Started
5/26/2023 11:03:01 AM - TaskCreated - Muhr, Donald (Northern Natural Gas) - Admin Approval process started, participant</vt:lpwstr>
  </property>
  <property fmtid="{D5CDD505-2E9C-101B-9397-08002B2CF9AE}" pid="23" name="Review Date">
    <vt:lpwstr>2024-03-07T00:00:00Z</vt:lpwstr>
  </property>
</Properties>
</file>